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vbaProject.bin" ContentType="application/vnd.ms-office.vbaProject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 codeName="{899C9086-67A9-5B14-2C2D-5A8001700F7D}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U:\PEP\Uniclima_projet PEP collectif\PSR PEP Uniclima\revision 2024\Versions finales révision PSR\"/>
    </mc:Choice>
  </mc:AlternateContent>
  <xr:revisionPtr revIDLastSave="0" documentId="13_ncr:1_{53A54C85-0398-4B46-BBC9-F800825E0859}" xr6:coauthVersionLast="47" xr6:coauthVersionMax="47" xr10:uidLastSave="{00000000-0000-0000-0000-000000000000}"/>
  <bookViews>
    <workbookView xWindow="192" yWindow="384" windowWidth="22848" windowHeight="10788" tabRatio="821" xr2:uid="{00000000-000D-0000-FFFF-FFFF00000000}"/>
  </bookViews>
  <sheets>
    <sheet name="Separated method" sheetId="7" r:id="rId1"/>
    <sheet name="coverage rate" sheetId="10" r:id="rId2"/>
    <sheet name="Combined method" sheetId="9" r:id="rId3"/>
  </sheets>
  <definedNames>
    <definedName name="_xlnm._FilterDatabase" localSheetId="2" hidden="1">'Combined method'!#REF!</definedName>
    <definedName name="_xlnm._FilterDatabase" localSheetId="0" hidden="1">'Separated method'!#REF!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7" i="7" l="1"/>
  <c r="F38" i="7"/>
  <c r="E38" i="7"/>
  <c r="E60" i="7"/>
  <c r="F60" i="7"/>
  <c r="E10" i="7"/>
  <c r="D30" i="7" l="1"/>
  <c r="D29" i="7"/>
  <c r="D28" i="7"/>
  <c r="D27" i="7"/>
  <c r="B21" i="7"/>
  <c r="M22" i="7"/>
  <c r="M21" i="7"/>
  <c r="M20" i="7"/>
  <c r="M18" i="7" s="1"/>
  <c r="M37" i="9"/>
  <c r="P37" i="9" s="1"/>
  <c r="Q37" i="9" l="1"/>
  <c r="O37" i="9"/>
  <c r="L37" i="9" l="1"/>
  <c r="N37" i="9" s="1"/>
  <c r="M54" i="9" l="1"/>
  <c r="M59" i="9"/>
  <c r="M49" i="9"/>
  <c r="M42" i="9" s="1"/>
  <c r="M40" i="9"/>
  <c r="L59" i="9"/>
  <c r="N59" i="9" s="1"/>
  <c r="L54" i="9"/>
  <c r="N54" i="9" s="1"/>
  <c r="L49" i="9"/>
  <c r="N49" i="9" s="1"/>
  <c r="L40" i="9"/>
  <c r="L53" i="9" l="1"/>
  <c r="N53" i="9" s="1"/>
  <c r="L52" i="9"/>
  <c r="N52" i="9" s="1"/>
  <c r="M45" i="9"/>
  <c r="M43" i="9"/>
  <c r="P43" i="9" s="1"/>
  <c r="Q43" i="9" s="1"/>
  <c r="M48" i="9"/>
  <c r="M47" i="9"/>
  <c r="M46" i="9"/>
  <c r="O46" i="9" s="1"/>
  <c r="M44" i="9"/>
  <c r="O44" i="9" s="1"/>
  <c r="L50" i="9"/>
  <c r="N50" i="9" s="1"/>
  <c r="P48" i="9"/>
  <c r="Q48" i="9" s="1"/>
  <c r="O48" i="9"/>
  <c r="P47" i="9"/>
  <c r="Q47" i="9" s="1"/>
  <c r="O47" i="9"/>
  <c r="N40" i="9"/>
  <c r="L38" i="9"/>
  <c r="N38" i="9" s="1"/>
  <c r="L39" i="9"/>
  <c r="N39" i="9" s="1"/>
  <c r="P45" i="9"/>
  <c r="Q45" i="9" s="1"/>
  <c r="O45" i="9"/>
  <c r="L51" i="9"/>
  <c r="N51" i="9" s="1"/>
  <c r="L41" i="9"/>
  <c r="N41" i="9" s="1"/>
  <c r="L55" i="9"/>
  <c r="N55" i="9" s="1"/>
  <c r="P42" i="9"/>
  <c r="Q42" i="9" s="1"/>
  <c r="O42" i="9"/>
  <c r="L48" i="9"/>
  <c r="N48" i="9" s="1"/>
  <c r="L58" i="9"/>
  <c r="N58" i="9" s="1"/>
  <c r="L47" i="9"/>
  <c r="N47" i="9" s="1"/>
  <c r="L57" i="9"/>
  <c r="N57" i="9" s="1"/>
  <c r="P54" i="9"/>
  <c r="Q54" i="9" s="1"/>
  <c r="O54" i="9"/>
  <c r="L46" i="9"/>
  <c r="N46" i="9" s="1"/>
  <c r="L56" i="9"/>
  <c r="N56" i="9" s="1"/>
  <c r="M55" i="9"/>
  <c r="L45" i="9"/>
  <c r="N45" i="9" s="1"/>
  <c r="P40" i="9"/>
  <c r="Q40" i="9" s="1"/>
  <c r="O40" i="9"/>
  <c r="M58" i="9"/>
  <c r="L44" i="9"/>
  <c r="N44" i="9" s="1"/>
  <c r="P49" i="9"/>
  <c r="Q49" i="9" s="1"/>
  <c r="O49" i="9"/>
  <c r="M41" i="9"/>
  <c r="M57" i="9"/>
  <c r="L43" i="9"/>
  <c r="N43" i="9" s="1"/>
  <c r="P59" i="9"/>
  <c r="Q59" i="9" s="1"/>
  <c r="O59" i="9"/>
  <c r="M56" i="9"/>
  <c r="L42" i="9"/>
  <c r="N42" i="9" s="1"/>
  <c r="M38" i="9"/>
  <c r="M39" i="9"/>
  <c r="N37" i="7"/>
  <c r="M37" i="7"/>
  <c r="H37" i="7"/>
  <c r="G37" i="7"/>
  <c r="B3" i="10" s="1"/>
  <c r="E37" i="7"/>
  <c r="F37" i="7" s="1"/>
  <c r="I37" i="7" s="1"/>
  <c r="A3" i="10" l="1"/>
  <c r="C3" i="10" s="1"/>
  <c r="P44" i="9"/>
  <c r="Q44" i="9" s="1"/>
  <c r="O43" i="9"/>
  <c r="P46" i="9"/>
  <c r="Q46" i="9" s="1"/>
  <c r="P56" i="9"/>
  <c r="Q56" i="9" s="1"/>
  <c r="O56" i="9"/>
  <c r="P57" i="9"/>
  <c r="Q57" i="9" s="1"/>
  <c r="O57" i="9"/>
  <c r="P41" i="9"/>
  <c r="Q41" i="9" s="1"/>
  <c r="O41" i="9"/>
  <c r="P58" i="9"/>
  <c r="Q58" i="9" s="1"/>
  <c r="O58" i="9"/>
  <c r="P39" i="9"/>
  <c r="Q39" i="9" s="1"/>
  <c r="O39" i="9"/>
  <c r="P38" i="9"/>
  <c r="Q38" i="9" s="1"/>
  <c r="O38" i="9"/>
  <c r="P55" i="9"/>
  <c r="Q55" i="9" s="1"/>
  <c r="O55" i="9"/>
  <c r="J37" i="7"/>
  <c r="Q37" i="7" s="1"/>
  <c r="R37" i="7" s="1"/>
  <c r="D3" i="10" l="1"/>
  <c r="L37" i="7"/>
  <c r="S37" i="7" s="1"/>
  <c r="K37" i="7"/>
  <c r="T37" i="7" s="1"/>
  <c r="O37" i="7" l="1"/>
  <c r="P37" i="7" s="1"/>
  <c r="G16" i="9" l="1"/>
  <c r="G17" i="9"/>
  <c r="G18" i="9"/>
  <c r="G19" i="9"/>
  <c r="G20" i="9"/>
  <c r="G21" i="9"/>
  <c r="G15" i="9"/>
  <c r="G37" i="9"/>
  <c r="C26" i="9"/>
  <c r="C27" i="9"/>
  <c r="C28" i="9"/>
  <c r="C25" i="9"/>
  <c r="B21" i="9" l="1"/>
  <c r="A60" i="9" s="1"/>
  <c r="W60" i="9" s="1"/>
  <c r="B19" i="9"/>
  <c r="B20" i="9"/>
  <c r="AB60" i="9"/>
  <c r="AA62" i="9"/>
  <c r="Z60" i="9"/>
  <c r="W59" i="9"/>
  <c r="X59" i="9" s="1"/>
  <c r="Z59" i="9" s="1"/>
  <c r="G59" i="9" s="1"/>
  <c r="W54" i="9"/>
  <c r="X54" i="9" s="1"/>
  <c r="AB54" i="9" s="1"/>
  <c r="W53" i="9"/>
  <c r="W52" i="9"/>
  <c r="W51" i="9"/>
  <c r="W50" i="9"/>
  <c r="W37" i="9"/>
  <c r="Y37" i="9" s="1"/>
  <c r="W36" i="9"/>
  <c r="A62" i="9"/>
  <c r="W62" i="9" s="1"/>
  <c r="A61" i="9"/>
  <c r="W61" i="9" s="1"/>
  <c r="A57" i="9"/>
  <c r="W57" i="9" s="1"/>
  <c r="A56" i="9"/>
  <c r="W56" i="9" s="1"/>
  <c r="A48" i="9"/>
  <c r="W48" i="9" s="1"/>
  <c r="A47" i="9"/>
  <c r="W47" i="9" s="1"/>
  <c r="A44" i="9"/>
  <c r="W44" i="9" s="1"/>
  <c r="A43" i="9"/>
  <c r="W43" i="9" s="1"/>
  <c r="A39" i="9"/>
  <c r="W39" i="9" s="1"/>
  <c r="E38" i="9"/>
  <c r="E39" i="9"/>
  <c r="E40" i="9"/>
  <c r="E41" i="9"/>
  <c r="E42" i="9"/>
  <c r="E43" i="9"/>
  <c r="E44" i="9"/>
  <c r="E45" i="9"/>
  <c r="E46" i="9"/>
  <c r="E47" i="9"/>
  <c r="E48" i="9"/>
  <c r="E49" i="9"/>
  <c r="E50" i="9"/>
  <c r="E51" i="9"/>
  <c r="E52" i="9"/>
  <c r="E53" i="9"/>
  <c r="E54" i="9"/>
  <c r="E55" i="9"/>
  <c r="E56" i="9"/>
  <c r="E57" i="9"/>
  <c r="E58" i="9"/>
  <c r="E59" i="9"/>
  <c r="E60" i="9"/>
  <c r="E61" i="9"/>
  <c r="E62" i="9"/>
  <c r="E37" i="9"/>
  <c r="E39" i="7"/>
  <c r="E40" i="7"/>
  <c r="E41" i="7"/>
  <c r="E42" i="7"/>
  <c r="E43" i="7"/>
  <c r="E44" i="7"/>
  <c r="E45" i="7"/>
  <c r="E46" i="7"/>
  <c r="E47" i="7"/>
  <c r="E48" i="7"/>
  <c r="E49" i="7"/>
  <c r="E50" i="7"/>
  <c r="E51" i="7"/>
  <c r="E52" i="7"/>
  <c r="E53" i="7"/>
  <c r="E54" i="7"/>
  <c r="E55" i="7"/>
  <c r="E56" i="7"/>
  <c r="E57" i="7"/>
  <c r="E58" i="7"/>
  <c r="E59" i="7"/>
  <c r="E61" i="7"/>
  <c r="E62" i="7"/>
  <c r="N38" i="7"/>
  <c r="N39" i="7"/>
  <c r="N40" i="7"/>
  <c r="N41" i="7"/>
  <c r="N42" i="7"/>
  <c r="N43" i="7"/>
  <c r="N44" i="7"/>
  <c r="N45" i="7"/>
  <c r="N46" i="7"/>
  <c r="N47" i="7"/>
  <c r="N48" i="7"/>
  <c r="N49" i="7"/>
  <c r="N50" i="7"/>
  <c r="N51" i="7"/>
  <c r="N52" i="7"/>
  <c r="N53" i="7"/>
  <c r="N54" i="7"/>
  <c r="N55" i="7"/>
  <c r="N56" i="7"/>
  <c r="N57" i="7"/>
  <c r="N58" i="7"/>
  <c r="N59" i="7"/>
  <c r="N60" i="7"/>
  <c r="N61" i="7"/>
  <c r="N62" i="7"/>
  <c r="Y59" i="9" l="1"/>
  <c r="AA59" i="9" s="1"/>
  <c r="Y54" i="9"/>
  <c r="AA54" i="9" s="1"/>
  <c r="X37" i="9"/>
  <c r="AB37" i="9" s="1"/>
  <c r="A40" i="9"/>
  <c r="W40" i="9" s="1"/>
  <c r="Y40" i="9" s="1"/>
  <c r="AA40" i="9" s="1"/>
  <c r="Z37" i="9"/>
  <c r="A41" i="9"/>
  <c r="W41" i="9" s="1"/>
  <c r="A49" i="9"/>
  <c r="W49" i="9" s="1"/>
  <c r="Y49" i="9" s="1"/>
  <c r="AA49" i="9" s="1"/>
  <c r="A42" i="9"/>
  <c r="W42" i="9" s="1"/>
  <c r="A55" i="9"/>
  <c r="W55" i="9" s="1"/>
  <c r="A45" i="9"/>
  <c r="W45" i="9" s="1"/>
  <c r="A58" i="9"/>
  <c r="W58" i="9" s="1"/>
  <c r="Y58" i="9" s="1"/>
  <c r="AA58" i="9" s="1"/>
  <c r="A38" i="9"/>
  <c r="W38" i="9" s="1"/>
  <c r="A46" i="9"/>
  <c r="W46" i="9" s="1"/>
  <c r="AA37" i="9"/>
  <c r="X61" i="9"/>
  <c r="Y61" i="9"/>
  <c r="AA61" i="9" s="1"/>
  <c r="AB59" i="9"/>
  <c r="Z54" i="9"/>
  <c r="G54" i="9" s="1"/>
  <c r="Y53" i="9"/>
  <c r="AA53" i="9" s="1"/>
  <c r="X40" i="9" l="1"/>
  <c r="M61" i="9"/>
  <c r="L61" i="9"/>
  <c r="N61" i="9" s="1"/>
  <c r="Y39" i="9"/>
  <c r="AA39" i="9" s="1"/>
  <c r="X38" i="9"/>
  <c r="X39" i="9" s="1"/>
  <c r="Z39" i="9" s="1"/>
  <c r="X49" i="9"/>
  <c r="X50" i="9" s="1"/>
  <c r="X55" i="9"/>
  <c r="X56" i="9" s="1"/>
  <c r="AB56" i="9" s="1"/>
  <c r="Y57" i="9"/>
  <c r="Y52" i="9"/>
  <c r="AA52" i="9" s="1"/>
  <c r="Y48" i="9"/>
  <c r="AB40" i="9"/>
  <c r="Z40" i="9"/>
  <c r="G40" i="9" s="1"/>
  <c r="AB61" i="9"/>
  <c r="Z61" i="9"/>
  <c r="G61" i="9" s="1"/>
  <c r="Y60" i="9"/>
  <c r="X62" i="9"/>
  <c r="X41" i="9"/>
  <c r="B22" i="7"/>
  <c r="AA60" i="9" l="1"/>
  <c r="G60" i="9" s="1"/>
  <c r="M60" i="9"/>
  <c r="L60" i="9"/>
  <c r="N60" i="9" s="1"/>
  <c r="M62" i="9"/>
  <c r="L62" i="9"/>
  <c r="N62" i="9" s="1"/>
  <c r="P61" i="9"/>
  <c r="Q61" i="9" s="1"/>
  <c r="O61" i="9"/>
  <c r="Y38" i="9"/>
  <c r="AA38" i="9" s="1"/>
  <c r="Z38" i="9"/>
  <c r="AB39" i="9"/>
  <c r="AB38" i="9"/>
  <c r="G39" i="9"/>
  <c r="Z49" i="9"/>
  <c r="G49" i="9" s="1"/>
  <c r="AB49" i="9"/>
  <c r="AB55" i="9"/>
  <c r="Z55" i="9"/>
  <c r="Z56" i="9"/>
  <c r="Y51" i="9"/>
  <c r="AA51" i="9" s="1"/>
  <c r="AA57" i="9"/>
  <c r="Y56" i="9"/>
  <c r="X57" i="9"/>
  <c r="X58" i="9" s="1"/>
  <c r="Z58" i="9" s="1"/>
  <c r="G58" i="9" s="1"/>
  <c r="AA48" i="9"/>
  <c r="Y47" i="9"/>
  <c r="Z41" i="9"/>
  <c r="AB41" i="9"/>
  <c r="Z50" i="9"/>
  <c r="AB50" i="9"/>
  <c r="AB62" i="9"/>
  <c r="Z62" i="9"/>
  <c r="G62" i="9" s="1"/>
  <c r="X51" i="9"/>
  <c r="X42" i="9"/>
  <c r="AA62" i="7"/>
  <c r="Z60" i="7"/>
  <c r="P62" i="9" l="1"/>
  <c r="Q62" i="9" s="1"/>
  <c r="O62" i="9"/>
  <c r="U8" i="9"/>
  <c r="P60" i="9"/>
  <c r="Q60" i="9" s="1"/>
  <c r="O60" i="9"/>
  <c r="G38" i="9"/>
  <c r="Y50" i="9"/>
  <c r="AA50" i="9" s="1"/>
  <c r="AB57" i="9"/>
  <c r="Z57" i="9"/>
  <c r="G57" i="9" s="1"/>
  <c r="AB58" i="9"/>
  <c r="AA56" i="9"/>
  <c r="G56" i="9" s="1"/>
  <c r="Y55" i="9"/>
  <c r="AA47" i="9"/>
  <c r="Y46" i="9"/>
  <c r="Z42" i="9"/>
  <c r="AB42" i="9"/>
  <c r="Z51" i="9"/>
  <c r="G51" i="9" s="1"/>
  <c r="AB51" i="9"/>
  <c r="X43" i="9"/>
  <c r="X52" i="9"/>
  <c r="W37" i="7"/>
  <c r="X37" i="7" s="1"/>
  <c r="Z37" i="7" s="1"/>
  <c r="W50" i="7"/>
  <c r="W51" i="7"/>
  <c r="W52" i="7"/>
  <c r="W53" i="7"/>
  <c r="W54" i="7"/>
  <c r="Y54" i="7" s="1"/>
  <c r="W59" i="7"/>
  <c r="X59" i="7" s="1"/>
  <c r="W36" i="7"/>
  <c r="A49" i="7"/>
  <c r="W49" i="7" s="1"/>
  <c r="A42" i="7"/>
  <c r="W42" i="7" s="1"/>
  <c r="A43" i="7"/>
  <c r="W43" i="7" s="1"/>
  <c r="A44" i="7"/>
  <c r="W44" i="7" s="1"/>
  <c r="A45" i="7"/>
  <c r="W45" i="7" s="1"/>
  <c r="A46" i="7"/>
  <c r="W46" i="7" s="1"/>
  <c r="A47" i="7"/>
  <c r="W47" i="7" s="1"/>
  <c r="A48" i="7"/>
  <c r="W48" i="7" s="1"/>
  <c r="A41" i="7"/>
  <c r="W41" i="7" s="1"/>
  <c r="A40" i="7"/>
  <c r="W40" i="7" s="1"/>
  <c r="A38" i="7"/>
  <c r="W38" i="7" s="1"/>
  <c r="A39" i="7"/>
  <c r="W39" i="7" s="1"/>
  <c r="A55" i="7"/>
  <c r="W55" i="7" s="1"/>
  <c r="A56" i="7"/>
  <c r="W56" i="7" s="1"/>
  <c r="A57" i="7"/>
  <c r="W57" i="7" s="1"/>
  <c r="A58" i="7"/>
  <c r="W58" i="7" s="1"/>
  <c r="A60" i="7"/>
  <c r="W60" i="7" s="1"/>
  <c r="A61" i="7"/>
  <c r="W61" i="7" s="1"/>
  <c r="A62" i="7"/>
  <c r="W62" i="7" s="1"/>
  <c r="G50" i="9" l="1"/>
  <c r="AA55" i="9"/>
  <c r="G55" i="9" s="1"/>
  <c r="AA46" i="9"/>
  <c r="Y45" i="9"/>
  <c r="Z52" i="9"/>
  <c r="G52" i="9" s="1"/>
  <c r="AB52" i="9"/>
  <c r="Z43" i="9"/>
  <c r="AB43" i="9"/>
  <c r="X53" i="9"/>
  <c r="X44" i="9"/>
  <c r="X54" i="7"/>
  <c r="X55" i="7" s="1"/>
  <c r="Y59" i="7"/>
  <c r="X61" i="7"/>
  <c r="X38" i="7"/>
  <c r="Z59" i="7"/>
  <c r="G59" i="7" s="1"/>
  <c r="B25" i="10" s="1"/>
  <c r="AA54" i="7"/>
  <c r="X49" i="7"/>
  <c r="Y49" i="7"/>
  <c r="X40" i="7"/>
  <c r="Y40" i="7"/>
  <c r="Y37" i="7"/>
  <c r="Y53" i="7"/>
  <c r="Y61" i="7"/>
  <c r="AA59" i="7" l="1"/>
  <c r="X39" i="7"/>
  <c r="Y58" i="7"/>
  <c r="AA45" i="9"/>
  <c r="Y44" i="9"/>
  <c r="AB53" i="9"/>
  <c r="Z53" i="9"/>
  <c r="G53" i="9" s="1"/>
  <c r="Z44" i="9"/>
  <c r="AB44" i="9"/>
  <c r="X45" i="9"/>
  <c r="Z54" i="7"/>
  <c r="G54" i="7" s="1"/>
  <c r="B20" i="10" s="1"/>
  <c r="Y52" i="7"/>
  <c r="AA53" i="7"/>
  <c r="Z61" i="7"/>
  <c r="X56" i="7"/>
  <c r="Z55" i="7"/>
  <c r="X41" i="7"/>
  <c r="Z40" i="7"/>
  <c r="G40" i="7" s="1"/>
  <c r="B6" i="10" s="1"/>
  <c r="X50" i="7"/>
  <c r="Z49" i="7"/>
  <c r="G49" i="7" s="1"/>
  <c r="B15" i="10" s="1"/>
  <c r="AA40" i="7"/>
  <c r="AA61" i="7"/>
  <c r="X62" i="7"/>
  <c r="AA37" i="7"/>
  <c r="Z39" i="7"/>
  <c r="Y48" i="7"/>
  <c r="AA49" i="7"/>
  <c r="Z38" i="7"/>
  <c r="Y39" i="7"/>
  <c r="Y60" i="7"/>
  <c r="Y57" i="7" l="1"/>
  <c r="Y56" i="7" s="1"/>
  <c r="AA58" i="7"/>
  <c r="AA44" i="9"/>
  <c r="G44" i="9" s="1"/>
  <c r="Y43" i="9"/>
  <c r="AB45" i="9"/>
  <c r="Z45" i="9"/>
  <c r="G45" i="9" s="1"/>
  <c r="X46" i="9"/>
  <c r="G61" i="7"/>
  <c r="B27" i="10" s="1"/>
  <c r="Z62" i="7"/>
  <c r="G62" i="7" s="1"/>
  <c r="B28" i="10" s="1"/>
  <c r="X57" i="7"/>
  <c r="Z56" i="7"/>
  <c r="AA60" i="7"/>
  <c r="G60" i="7" s="1"/>
  <c r="B26" i="10" s="1"/>
  <c r="Y51" i="7"/>
  <c r="AA52" i="7"/>
  <c r="Z41" i="7"/>
  <c r="X42" i="7"/>
  <c r="Y47" i="7"/>
  <c r="AA48" i="7"/>
  <c r="AA39" i="7"/>
  <c r="G39" i="7" s="1"/>
  <c r="B5" i="10" s="1"/>
  <c r="X51" i="7"/>
  <c r="Z50" i="7"/>
  <c r="Y38" i="7"/>
  <c r="AA57" i="7" l="1"/>
  <c r="X43" i="7"/>
  <c r="AA43" i="9"/>
  <c r="G43" i="9" s="1"/>
  <c r="Y42" i="9"/>
  <c r="AB46" i="9"/>
  <c r="Z46" i="9"/>
  <c r="G46" i="9" s="1"/>
  <c r="X47" i="9"/>
  <c r="Y46" i="7"/>
  <c r="AA47" i="7"/>
  <c r="X58" i="7"/>
  <c r="Z57" i="7"/>
  <c r="Y55" i="7"/>
  <c r="AA56" i="7"/>
  <c r="G56" i="7" s="1"/>
  <c r="B22" i="10" s="1"/>
  <c r="Z51" i="7"/>
  <c r="X52" i="7"/>
  <c r="AA38" i="7"/>
  <c r="G38" i="7" s="1"/>
  <c r="B4" i="10" s="1"/>
  <c r="Z42" i="7"/>
  <c r="Y50" i="7"/>
  <c r="AA51" i="7"/>
  <c r="C18" i="7"/>
  <c r="D18" i="7" s="1"/>
  <c r="C19" i="7"/>
  <c r="D19" i="7" s="1"/>
  <c r="C20" i="7"/>
  <c r="D20" i="7" s="1"/>
  <c r="I20" i="7" s="1"/>
  <c r="J20" i="7" s="1"/>
  <c r="C21" i="7"/>
  <c r="D21" i="7" s="1"/>
  <c r="C22" i="7"/>
  <c r="D22" i="7" s="1"/>
  <c r="I22" i="7" s="1"/>
  <c r="J22" i="7" s="1"/>
  <c r="C17" i="7"/>
  <c r="D17" i="7" l="1"/>
  <c r="I17" i="7" s="1"/>
  <c r="J17" i="7" s="1"/>
  <c r="G57" i="7"/>
  <c r="B23" i="10" s="1"/>
  <c r="AB59" i="7"/>
  <c r="H59" i="7" s="1"/>
  <c r="AC62" i="7"/>
  <c r="AC61" i="7"/>
  <c r="AC59" i="7"/>
  <c r="AC60" i="7"/>
  <c r="AC58" i="7"/>
  <c r="Z43" i="7"/>
  <c r="I18" i="7"/>
  <c r="J18" i="7" s="1"/>
  <c r="I19" i="7"/>
  <c r="J19" i="7" s="1"/>
  <c r="I21" i="7"/>
  <c r="J21" i="7" s="1"/>
  <c r="AC37" i="7" s="1"/>
  <c r="X44" i="7"/>
  <c r="AA42" i="9"/>
  <c r="G42" i="9" s="1"/>
  <c r="Y41" i="9"/>
  <c r="AB47" i="9"/>
  <c r="Z47" i="9"/>
  <c r="G47" i="9" s="1"/>
  <c r="X48" i="9"/>
  <c r="G51" i="7"/>
  <c r="B17" i="10" s="1"/>
  <c r="Z52" i="7"/>
  <c r="G52" i="7" s="1"/>
  <c r="B18" i="10" s="1"/>
  <c r="X53" i="7"/>
  <c r="Z58" i="7"/>
  <c r="G58" i="7" s="1"/>
  <c r="B24" i="10" s="1"/>
  <c r="AA50" i="7"/>
  <c r="G50" i="7" s="1"/>
  <c r="B16" i="10" s="1"/>
  <c r="AA55" i="7"/>
  <c r="G55" i="7" s="1"/>
  <c r="B21" i="10" s="1"/>
  <c r="Y45" i="7"/>
  <c r="AA46" i="7"/>
  <c r="D28" i="9"/>
  <c r="D27" i="9"/>
  <c r="D26" i="9"/>
  <c r="D25" i="9"/>
  <c r="E10" i="9"/>
  <c r="AB43" i="7" l="1"/>
  <c r="AC38" i="7"/>
  <c r="AB40" i="7"/>
  <c r="H40" i="7" s="1"/>
  <c r="AB42" i="7"/>
  <c r="AB41" i="7"/>
  <c r="AC39" i="7"/>
  <c r="AC40" i="7"/>
  <c r="AC55" i="7"/>
  <c r="AC56" i="7"/>
  <c r="AC57" i="7"/>
  <c r="AC54" i="7"/>
  <c r="AC53" i="7"/>
  <c r="AC52" i="7"/>
  <c r="AC51" i="7"/>
  <c r="AC49" i="7"/>
  <c r="AC48" i="7"/>
  <c r="AC47" i="7"/>
  <c r="AC46" i="7"/>
  <c r="AC50" i="7"/>
  <c r="AC45" i="7"/>
  <c r="AB37" i="7"/>
  <c r="AB38" i="7"/>
  <c r="AB39" i="7"/>
  <c r="X45" i="7"/>
  <c r="AB45" i="7" s="1"/>
  <c r="AB44" i="7"/>
  <c r="AB54" i="7"/>
  <c r="H54" i="7" s="1"/>
  <c r="AB62" i="7"/>
  <c r="H62" i="7" s="1"/>
  <c r="AB55" i="7"/>
  <c r="AB56" i="7"/>
  <c r="AB57" i="7"/>
  <c r="AB60" i="7"/>
  <c r="H60" i="7" s="1"/>
  <c r="AB61" i="7"/>
  <c r="H61" i="7" s="1"/>
  <c r="AB58" i="7"/>
  <c r="H58" i="7" s="1"/>
  <c r="AB53" i="7"/>
  <c r="AB49" i="7"/>
  <c r="H49" i="7" s="1"/>
  <c r="AB50" i="7"/>
  <c r="AB52" i="7"/>
  <c r="AB51" i="7"/>
  <c r="Z44" i="7"/>
  <c r="AA41" i="9"/>
  <c r="G41" i="9" s="1"/>
  <c r="AB48" i="9"/>
  <c r="Z48" i="9"/>
  <c r="G48" i="9" s="1"/>
  <c r="Z53" i="7"/>
  <c r="G53" i="7" s="1"/>
  <c r="B19" i="10" s="1"/>
  <c r="Y44" i="7"/>
  <c r="AC44" i="7" s="1"/>
  <c r="AA45" i="7"/>
  <c r="F38" i="9"/>
  <c r="F39" i="9"/>
  <c r="I39" i="9" s="1"/>
  <c r="F40" i="9"/>
  <c r="F41" i="9"/>
  <c r="F42" i="9"/>
  <c r="F43" i="9"/>
  <c r="F44" i="9"/>
  <c r="F45" i="9"/>
  <c r="F46" i="9"/>
  <c r="F47" i="9"/>
  <c r="F48" i="9"/>
  <c r="F49" i="9"/>
  <c r="F50" i="9"/>
  <c r="I50" i="9" s="1"/>
  <c r="F51" i="9"/>
  <c r="F52" i="9"/>
  <c r="F53" i="9"/>
  <c r="F54" i="9"/>
  <c r="F55" i="9"/>
  <c r="F56" i="9"/>
  <c r="F57" i="9"/>
  <c r="F58" i="9"/>
  <c r="F59" i="9"/>
  <c r="F60" i="9"/>
  <c r="I60" i="9" s="1"/>
  <c r="F61" i="9"/>
  <c r="I61" i="9" s="1"/>
  <c r="F62" i="9"/>
  <c r="I62" i="9" s="1"/>
  <c r="F37" i="9"/>
  <c r="C16" i="9"/>
  <c r="D16" i="9" s="1"/>
  <c r="H16" i="9" s="1"/>
  <c r="C17" i="9"/>
  <c r="D17" i="9" s="1"/>
  <c r="C18" i="9"/>
  <c r="D18" i="9" s="1"/>
  <c r="H18" i="9" s="1"/>
  <c r="C19" i="9"/>
  <c r="D19" i="9" s="1"/>
  <c r="C20" i="9"/>
  <c r="C21" i="9"/>
  <c r="D21" i="9" s="1"/>
  <c r="C15" i="9"/>
  <c r="D15" i="9" s="1"/>
  <c r="H15" i="9" s="1"/>
  <c r="I15" i="9" s="1"/>
  <c r="H37" i="9" s="1"/>
  <c r="H39" i="7" l="1"/>
  <c r="H38" i="7"/>
  <c r="I16" i="9"/>
  <c r="H40" i="9" s="1"/>
  <c r="J40" i="9" s="1"/>
  <c r="K40" i="9" s="1"/>
  <c r="I38" i="9"/>
  <c r="H56" i="7"/>
  <c r="H57" i="7"/>
  <c r="H55" i="7"/>
  <c r="H51" i="7"/>
  <c r="H52" i="7"/>
  <c r="X46" i="7"/>
  <c r="AB46" i="7" s="1"/>
  <c r="H46" i="7" s="1"/>
  <c r="Z45" i="7"/>
  <c r="G45" i="7" s="1"/>
  <c r="B11" i="10" s="1"/>
  <c r="H50" i="7"/>
  <c r="H53" i="7"/>
  <c r="H45" i="7"/>
  <c r="J37" i="9"/>
  <c r="K37" i="9" s="1"/>
  <c r="H19" i="9"/>
  <c r="I19" i="9" s="1"/>
  <c r="H21" i="9"/>
  <c r="I21" i="9" s="1"/>
  <c r="I18" i="9"/>
  <c r="H17" i="9"/>
  <c r="I17" i="9" s="1"/>
  <c r="D20" i="9"/>
  <c r="Y43" i="7"/>
  <c r="AC43" i="7" s="1"/>
  <c r="AA44" i="7"/>
  <c r="G44" i="7" s="1"/>
  <c r="B10" i="10" s="1"/>
  <c r="H44" i="7"/>
  <c r="I56" i="9"/>
  <c r="I48" i="9"/>
  <c r="I44" i="9"/>
  <c r="I40" i="9"/>
  <c r="I37" i="9"/>
  <c r="I55" i="9"/>
  <c r="I43" i="9"/>
  <c r="I58" i="9"/>
  <c r="I54" i="9"/>
  <c r="I46" i="9"/>
  <c r="I42" i="9"/>
  <c r="I52" i="9"/>
  <c r="I59" i="9"/>
  <c r="I51" i="9"/>
  <c r="I47" i="9"/>
  <c r="I57" i="9"/>
  <c r="I53" i="9"/>
  <c r="I49" i="9"/>
  <c r="I45" i="9"/>
  <c r="I41" i="9"/>
  <c r="M39" i="7"/>
  <c r="M40" i="7"/>
  <c r="M41" i="7"/>
  <c r="M42" i="7"/>
  <c r="M43" i="7"/>
  <c r="M44" i="7"/>
  <c r="M45" i="7"/>
  <c r="M46" i="7"/>
  <c r="M47" i="7"/>
  <c r="M48" i="7"/>
  <c r="M49" i="7"/>
  <c r="M50" i="7"/>
  <c r="M51" i="7"/>
  <c r="M52" i="7"/>
  <c r="M53" i="7"/>
  <c r="M54" i="7"/>
  <c r="M55" i="7"/>
  <c r="M56" i="7"/>
  <c r="M57" i="7"/>
  <c r="M58" i="7"/>
  <c r="M59" i="7"/>
  <c r="M60" i="7"/>
  <c r="M61" i="7"/>
  <c r="M62" i="7"/>
  <c r="M38" i="7"/>
  <c r="H49" i="9" l="1"/>
  <c r="H43" i="9" s="1"/>
  <c r="J43" i="9" s="1"/>
  <c r="K43" i="9" s="1"/>
  <c r="X47" i="7"/>
  <c r="AB47" i="7" s="1"/>
  <c r="H47" i="7" s="1"/>
  <c r="Z46" i="7"/>
  <c r="G46" i="7" s="1"/>
  <c r="B12" i="10" s="1"/>
  <c r="H54" i="9"/>
  <c r="J54" i="9" s="1"/>
  <c r="K54" i="9" s="1"/>
  <c r="H59" i="9"/>
  <c r="J59" i="9" s="1"/>
  <c r="K59" i="9" s="1"/>
  <c r="H56" i="9"/>
  <c r="J56" i="9" s="1"/>
  <c r="K56" i="9" s="1"/>
  <c r="H20" i="9"/>
  <c r="I20" i="9" s="1"/>
  <c r="Y42" i="7"/>
  <c r="AC42" i="7" s="1"/>
  <c r="AA43" i="7"/>
  <c r="G43" i="7" s="1"/>
  <c r="B9" i="10" s="1"/>
  <c r="C9" i="10" s="1"/>
  <c r="H43" i="7"/>
  <c r="H39" i="9"/>
  <c r="J39" i="9" s="1"/>
  <c r="K39" i="9" s="1"/>
  <c r="H38" i="9"/>
  <c r="I63" i="9"/>
  <c r="F62" i="7"/>
  <c r="A28" i="10" s="1"/>
  <c r="F61" i="7"/>
  <c r="A27" i="10" s="1"/>
  <c r="A26" i="10"/>
  <c r="F59" i="7"/>
  <c r="A25" i="10" s="1"/>
  <c r="F58" i="7"/>
  <c r="A24" i="10" s="1"/>
  <c r="F57" i="7"/>
  <c r="A23" i="10" s="1"/>
  <c r="F56" i="7"/>
  <c r="A22" i="10" s="1"/>
  <c r="F55" i="7"/>
  <c r="A21" i="10" s="1"/>
  <c r="F54" i="7"/>
  <c r="A20" i="10" s="1"/>
  <c r="F53" i="7"/>
  <c r="A19" i="10" s="1"/>
  <c r="F52" i="7"/>
  <c r="A18" i="10" s="1"/>
  <c r="F51" i="7"/>
  <c r="A17" i="10" s="1"/>
  <c r="F50" i="7"/>
  <c r="A16" i="10" s="1"/>
  <c r="F49" i="7"/>
  <c r="A15" i="10" s="1"/>
  <c r="F48" i="7"/>
  <c r="A14" i="10" s="1"/>
  <c r="F47" i="7"/>
  <c r="A13" i="10" s="1"/>
  <c r="F46" i="7"/>
  <c r="A12" i="10" s="1"/>
  <c r="F45" i="7"/>
  <c r="A11" i="10" s="1"/>
  <c r="F44" i="7"/>
  <c r="A10" i="10" s="1"/>
  <c r="F43" i="7"/>
  <c r="A9" i="10" s="1"/>
  <c r="F42" i="7"/>
  <c r="A8" i="10" s="1"/>
  <c r="F41" i="7"/>
  <c r="A7" i="10" s="1"/>
  <c r="F40" i="7"/>
  <c r="A6" i="10" s="1"/>
  <c r="F39" i="7"/>
  <c r="A5" i="10" s="1"/>
  <c r="A4" i="10"/>
  <c r="C17" i="10" l="1"/>
  <c r="C6" i="10"/>
  <c r="C23" i="10"/>
  <c r="C25" i="10"/>
  <c r="C22" i="10"/>
  <c r="C20" i="10"/>
  <c r="C21" i="10"/>
  <c r="C18" i="10"/>
  <c r="C5" i="10"/>
  <c r="A29" i="10"/>
  <c r="C4" i="10"/>
  <c r="C24" i="10"/>
  <c r="C28" i="10"/>
  <c r="C19" i="10"/>
  <c r="C12" i="10"/>
  <c r="C26" i="10"/>
  <c r="C27" i="10"/>
  <c r="C10" i="10"/>
  <c r="C15" i="10"/>
  <c r="C16" i="10"/>
  <c r="C11" i="10"/>
  <c r="J49" i="9"/>
  <c r="K49" i="9" s="1"/>
  <c r="H48" i="9"/>
  <c r="J48" i="9" s="1"/>
  <c r="K48" i="9" s="1"/>
  <c r="H45" i="9"/>
  <c r="J45" i="9" s="1"/>
  <c r="K45" i="9" s="1"/>
  <c r="H46" i="9"/>
  <c r="J46" i="9" s="1"/>
  <c r="K46" i="9" s="1"/>
  <c r="Z47" i="7"/>
  <c r="G47" i="7" s="1"/>
  <c r="H44" i="9"/>
  <c r="J44" i="9" s="1"/>
  <c r="K44" i="9" s="1"/>
  <c r="H41" i="9"/>
  <c r="J41" i="9" s="1"/>
  <c r="K41" i="9" s="1"/>
  <c r="H42" i="9"/>
  <c r="J42" i="9" s="1"/>
  <c r="K42" i="9" s="1"/>
  <c r="X48" i="7"/>
  <c r="AB48" i="7" s="1"/>
  <c r="H47" i="9"/>
  <c r="J47" i="9" s="1"/>
  <c r="K47" i="9" s="1"/>
  <c r="J38" i="9"/>
  <c r="K38" i="9" s="1"/>
  <c r="I58" i="7"/>
  <c r="I61" i="7"/>
  <c r="I56" i="7"/>
  <c r="I59" i="7"/>
  <c r="I60" i="7"/>
  <c r="I62" i="7"/>
  <c r="I57" i="7"/>
  <c r="J38" i="7"/>
  <c r="Q38" i="7" s="1"/>
  <c r="F63" i="7"/>
  <c r="H61" i="9"/>
  <c r="J61" i="9" s="1"/>
  <c r="K61" i="9" s="1"/>
  <c r="H62" i="9"/>
  <c r="J62" i="9" s="1"/>
  <c r="K62" i="9" s="1"/>
  <c r="H57" i="9"/>
  <c r="J57" i="9" s="1"/>
  <c r="K57" i="9" s="1"/>
  <c r="H60" i="9"/>
  <c r="J60" i="9" s="1"/>
  <c r="K60" i="9" s="1"/>
  <c r="H51" i="9"/>
  <c r="J51" i="9" s="1"/>
  <c r="K51" i="9" s="1"/>
  <c r="H58" i="9"/>
  <c r="J58" i="9" s="1"/>
  <c r="K58" i="9" s="1"/>
  <c r="H55" i="9"/>
  <c r="J55" i="9" s="1"/>
  <c r="K55" i="9" s="1"/>
  <c r="H53" i="9"/>
  <c r="J53" i="9" s="1"/>
  <c r="K53" i="9" s="1"/>
  <c r="H52" i="9"/>
  <c r="J52" i="9" s="1"/>
  <c r="K52" i="9" s="1"/>
  <c r="H50" i="9"/>
  <c r="J50" i="9" s="1"/>
  <c r="K50" i="9" s="1"/>
  <c r="Y41" i="7"/>
  <c r="AC41" i="7" s="1"/>
  <c r="AA42" i="7"/>
  <c r="G42" i="7" s="1"/>
  <c r="B8" i="10" s="1"/>
  <c r="C8" i="10" s="1"/>
  <c r="H42" i="7"/>
  <c r="J55" i="7"/>
  <c r="I48" i="7"/>
  <c r="J56" i="7"/>
  <c r="I41" i="7"/>
  <c r="J45" i="7"/>
  <c r="K45" i="7" s="1"/>
  <c r="T45" i="7" s="1"/>
  <c r="I45" i="7"/>
  <c r="J49" i="7"/>
  <c r="I49" i="7"/>
  <c r="J53" i="7"/>
  <c r="Q53" i="7" s="1"/>
  <c r="I53" i="7"/>
  <c r="J40" i="7"/>
  <c r="D6" i="10" s="1"/>
  <c r="I40" i="7"/>
  <c r="I44" i="7"/>
  <c r="J44" i="7"/>
  <c r="D10" i="10" s="1"/>
  <c r="I52" i="7"/>
  <c r="J52" i="7"/>
  <c r="D18" i="10" s="1"/>
  <c r="I38" i="7"/>
  <c r="I42" i="7"/>
  <c r="I46" i="7"/>
  <c r="J46" i="7"/>
  <c r="K46" i="7" s="1"/>
  <c r="T46" i="7" s="1"/>
  <c r="I50" i="7"/>
  <c r="J50" i="7"/>
  <c r="D16" i="10" s="1"/>
  <c r="I54" i="7"/>
  <c r="J54" i="7"/>
  <c r="J59" i="7"/>
  <c r="K59" i="7" s="1"/>
  <c r="T59" i="7" s="1"/>
  <c r="I55" i="7"/>
  <c r="I47" i="7"/>
  <c r="J39" i="7"/>
  <c r="K39" i="7" s="1"/>
  <c r="T39" i="7" s="1"/>
  <c r="I39" i="7"/>
  <c r="J61" i="7"/>
  <c r="D27" i="10" s="1"/>
  <c r="J58" i="7"/>
  <c r="K58" i="7" s="1"/>
  <c r="T58" i="7" s="1"/>
  <c r="J60" i="7"/>
  <c r="K60" i="7" s="1"/>
  <c r="T60" i="7" s="1"/>
  <c r="J62" i="7"/>
  <c r="J57" i="7"/>
  <c r="J51" i="7"/>
  <c r="D17" i="10" s="1"/>
  <c r="I51" i="7"/>
  <c r="I43" i="7"/>
  <c r="J43" i="7"/>
  <c r="D9" i="10" s="1"/>
  <c r="D25" i="10" l="1"/>
  <c r="D5" i="10"/>
  <c r="D11" i="10"/>
  <c r="Q55" i="7"/>
  <c r="R55" i="7" s="1"/>
  <c r="D21" i="10"/>
  <c r="J47" i="7"/>
  <c r="L47" i="7" s="1"/>
  <c r="S47" i="7" s="1"/>
  <c r="B13" i="10"/>
  <c r="D24" i="10"/>
  <c r="K54" i="7"/>
  <c r="T54" i="7" s="1"/>
  <c r="D20" i="10"/>
  <c r="R38" i="7"/>
  <c r="K49" i="7"/>
  <c r="T49" i="7" s="1"/>
  <c r="D15" i="10"/>
  <c r="K56" i="7"/>
  <c r="T56" i="7" s="1"/>
  <c r="D22" i="10"/>
  <c r="D26" i="10"/>
  <c r="D4" i="10"/>
  <c r="Q57" i="7"/>
  <c r="R57" i="7" s="1"/>
  <c r="D23" i="10"/>
  <c r="K62" i="7"/>
  <c r="T62" i="7" s="1"/>
  <c r="D28" i="10"/>
  <c r="D19" i="10"/>
  <c r="D12" i="10"/>
  <c r="K38" i="7"/>
  <c r="T38" i="7" s="1"/>
  <c r="Q44" i="7"/>
  <c r="R44" i="7" s="1"/>
  <c r="Z48" i="7"/>
  <c r="G48" i="7" s="1"/>
  <c r="Q54" i="7"/>
  <c r="R54" i="7" s="1"/>
  <c r="Q51" i="7"/>
  <c r="R51" i="7" s="1"/>
  <c r="K44" i="7"/>
  <c r="T44" i="7" s="1"/>
  <c r="Q60" i="7"/>
  <c r="R60" i="7" s="1"/>
  <c r="Q45" i="7"/>
  <c r="R45" i="7" s="1"/>
  <c r="K57" i="7"/>
  <c r="T57" i="7" s="1"/>
  <c r="Q58" i="7"/>
  <c r="R58" i="7" s="1"/>
  <c r="Q39" i="7"/>
  <c r="R39" i="7" s="1"/>
  <c r="H48" i="7"/>
  <c r="Q43" i="7"/>
  <c r="R43" i="7" s="1"/>
  <c r="Q59" i="7"/>
  <c r="R59" i="7" s="1"/>
  <c r="Q40" i="7"/>
  <c r="R40" i="7" s="1"/>
  <c r="K43" i="7"/>
  <c r="T43" i="7" s="1"/>
  <c r="Q50" i="7"/>
  <c r="R50" i="7" s="1"/>
  <c r="K50" i="7"/>
  <c r="T50" i="7" s="1"/>
  <c r="Q49" i="7"/>
  <c r="R49" i="7" s="1"/>
  <c r="Q62" i="7"/>
  <c r="R62" i="7" s="1"/>
  <c r="Q46" i="7"/>
  <c r="R46" i="7" s="1"/>
  <c r="Q61" i="7"/>
  <c r="R61" i="7" s="1"/>
  <c r="Q56" i="7"/>
  <c r="R56" i="7" s="1"/>
  <c r="K53" i="7"/>
  <c r="T53" i="7" s="1"/>
  <c r="Q47" i="7"/>
  <c r="R47" i="7" s="1"/>
  <c r="K40" i="7"/>
  <c r="T40" i="7" s="1"/>
  <c r="K55" i="7"/>
  <c r="T55" i="7" s="1"/>
  <c r="Q52" i="7"/>
  <c r="R52" i="7" s="1"/>
  <c r="K52" i="7"/>
  <c r="T52" i="7" s="1"/>
  <c r="K61" i="7"/>
  <c r="T61" i="7" s="1"/>
  <c r="K51" i="7"/>
  <c r="T51" i="7" s="1"/>
  <c r="K63" i="9"/>
  <c r="H10" i="9" s="1"/>
  <c r="K10" i="9" s="1"/>
  <c r="I10" i="9" s="1"/>
  <c r="J10" i="9" s="1"/>
  <c r="R53" i="7"/>
  <c r="I63" i="7"/>
  <c r="J42" i="7"/>
  <c r="L56" i="7"/>
  <c r="S56" i="7" s="1"/>
  <c r="L45" i="7"/>
  <c r="S45" i="7" s="1"/>
  <c r="L57" i="7"/>
  <c r="S57" i="7" s="1"/>
  <c r="L62" i="7"/>
  <c r="S62" i="7" s="1"/>
  <c r="L60" i="7"/>
  <c r="S60" i="7" s="1"/>
  <c r="L53" i="7"/>
  <c r="S53" i="7" s="1"/>
  <c r="L58" i="7"/>
  <c r="S58" i="7" s="1"/>
  <c r="L54" i="7"/>
  <c r="S54" i="7" s="1"/>
  <c r="L52" i="7"/>
  <c r="S52" i="7" s="1"/>
  <c r="L55" i="7"/>
  <c r="S55" i="7" s="1"/>
  <c r="L59" i="7"/>
  <c r="S59" i="7" s="1"/>
  <c r="L43" i="7"/>
  <c r="S43" i="7" s="1"/>
  <c r="L49" i="7"/>
  <c r="S49" i="7" s="1"/>
  <c r="L51" i="7"/>
  <c r="S51" i="7" s="1"/>
  <c r="L46" i="7"/>
  <c r="S46" i="7" s="1"/>
  <c r="L61" i="7"/>
  <c r="S61" i="7" s="1"/>
  <c r="L50" i="7"/>
  <c r="S50" i="7" s="1"/>
  <c r="L44" i="7"/>
  <c r="S44" i="7" s="1"/>
  <c r="L38" i="7"/>
  <c r="S38" i="7" s="1"/>
  <c r="L39" i="7"/>
  <c r="S39" i="7" s="1"/>
  <c r="L40" i="7"/>
  <c r="S40" i="7" s="1"/>
  <c r="AA41" i="7"/>
  <c r="G41" i="7" s="1"/>
  <c r="B7" i="10" s="1"/>
  <c r="H41" i="7"/>
  <c r="J48" i="7" l="1"/>
  <c r="D14" i="10" s="1"/>
  <c r="B14" i="10"/>
  <c r="C7" i="10"/>
  <c r="C13" i="10"/>
  <c r="K47" i="7"/>
  <c r="T47" i="7" s="1"/>
  <c r="D13" i="10"/>
  <c r="K42" i="7"/>
  <c r="T42" i="7" s="1"/>
  <c r="D8" i="10"/>
  <c r="Q42" i="7"/>
  <c r="R42" i="7" s="1"/>
  <c r="L42" i="7"/>
  <c r="S42" i="7" s="1"/>
  <c r="O61" i="7"/>
  <c r="P61" i="7" s="1"/>
  <c r="O55" i="7"/>
  <c r="P55" i="7" s="1"/>
  <c r="O62" i="7"/>
  <c r="P62" i="7" s="1"/>
  <c r="O60" i="7"/>
  <c r="P60" i="7" s="1"/>
  <c r="O58" i="7"/>
  <c r="P58" i="7" s="1"/>
  <c r="O57" i="7"/>
  <c r="P57" i="7" s="1"/>
  <c r="O59" i="7"/>
  <c r="P59" i="7" s="1"/>
  <c r="J41" i="7"/>
  <c r="G63" i="7"/>
  <c r="O39" i="7"/>
  <c r="P39" i="7" s="1"/>
  <c r="O40" i="7"/>
  <c r="P40" i="7" s="1"/>
  <c r="O38" i="7"/>
  <c r="P38" i="7" s="1"/>
  <c r="O54" i="7"/>
  <c r="P54" i="7" s="1"/>
  <c r="O50" i="7"/>
  <c r="P50" i="7" s="1"/>
  <c r="O52" i="7"/>
  <c r="P52" i="7" s="1"/>
  <c r="O45" i="7"/>
  <c r="P45" i="7" s="1"/>
  <c r="O49" i="7"/>
  <c r="P49" i="7" s="1"/>
  <c r="O43" i="7"/>
  <c r="P43" i="7" s="1"/>
  <c r="O51" i="7"/>
  <c r="P51" i="7" s="1"/>
  <c r="O46" i="7"/>
  <c r="P46" i="7" s="1"/>
  <c r="O53" i="7"/>
  <c r="P53" i="7" s="1"/>
  <c r="O56" i="7"/>
  <c r="P56" i="7" s="1"/>
  <c r="O44" i="7"/>
  <c r="P44" i="7" s="1"/>
  <c r="K48" i="7" l="1"/>
  <c r="T48" i="7" s="1"/>
  <c r="Q48" i="7"/>
  <c r="R48" i="7" s="1"/>
  <c r="L48" i="7"/>
  <c r="S48" i="7" s="1"/>
  <c r="O47" i="7"/>
  <c r="P47" i="7" s="1"/>
  <c r="Q41" i="7"/>
  <c r="Q63" i="7" s="1"/>
  <c r="D7" i="10"/>
  <c r="D29" i="10" s="1"/>
  <c r="D31" i="10" s="1"/>
  <c r="C14" i="10"/>
  <c r="C29" i="10" s="1"/>
  <c r="K41" i="7"/>
  <c r="T41" i="7" s="1"/>
  <c r="R41" i="7"/>
  <c r="R63" i="7" s="1"/>
  <c r="O42" i="7"/>
  <c r="P42" i="7" s="1"/>
  <c r="L41" i="7"/>
  <c r="O48" i="7" l="1"/>
  <c r="P48" i="7" s="1"/>
  <c r="V11" i="7"/>
  <c r="T63" i="7"/>
  <c r="S41" i="7"/>
  <c r="V10" i="7" s="1"/>
  <c r="V12" i="7" s="1"/>
  <c r="C31" i="10"/>
  <c r="D32" i="10" s="1"/>
  <c r="O41" i="7"/>
  <c r="P41" i="7" s="1"/>
  <c r="S63" i="7" l="1"/>
  <c r="P63" i="7"/>
  <c r="H10" i="7" s="1"/>
  <c r="K10" i="7" s="1"/>
  <c r="I10" i="7" l="1"/>
  <c r="J10" i="7" s="1"/>
  <c r="M53" i="9"/>
  <c r="M50" i="9"/>
  <c r="M51" i="9"/>
  <c r="M52" i="9"/>
  <c r="P52" i="9" l="1"/>
  <c r="Q52" i="9" s="1"/>
  <c r="O52" i="9"/>
  <c r="P51" i="9"/>
  <c r="Q51" i="9" s="1"/>
  <c r="O51" i="9"/>
  <c r="P50" i="9"/>
  <c r="Q50" i="9" s="1"/>
  <c r="O50" i="9"/>
  <c r="P53" i="9"/>
  <c r="Q53" i="9" s="1"/>
  <c r="O53" i="9"/>
  <c r="U7" i="9" l="1"/>
  <c r="U9" i="9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tc={BB0F6438-BC37-4EC7-AFFC-5AF2B2F5EB04}</author>
    <author>tc={B50950C6-9466-4CFA-9FD0-0C1C2A41C217}</author>
    <author>tc={DF5F2A80-1B7C-474F-B64D-0AA5F7AC6E03}</author>
    <author>tc={353F39A8-480A-44B9-9B10-65D75F5BC31E}</author>
    <author>tc={27282D04-4428-4E30-AEE3-5142097F3879}</author>
    <author>tc={6CC7A0D9-9E93-4DB3-875C-2F381CE73CA2}</author>
    <author>tc={5E92B334-CD46-4F9B-B22D-4DBF08BCC419}</author>
    <author>tc={52EC4B0F-02E9-4178-B5DC-F7989CE388A0}</author>
    <author>tc={023BB244-EFCC-4A32-8D1A-054A04850BC3}</author>
    <author>tc={27754144-987A-43C8-9BE2-2AC916498780}</author>
    <author>tc={2C6D25A9-D4AF-4E18-A227-E633C4938491}</author>
    <author>tc={44D8EBF0-4449-4477-85D8-3AB4D4C369F1}</author>
    <author>tc={B3D920C1-FA48-480F-AF42-07FE37DBA7A0}</author>
    <author>tc={BADC8CA2-204C-43F3-824E-C76A77815F38}</author>
    <author>tc={4247CC66-92D8-4E25-9C8A-15B5EAB93068}</author>
    <author>tc={2CB62F6C-3D8A-47DD-AE00-5B8B81752E98}</author>
    <author>tc={406D7E8D-864C-4806-8343-FC3533396DF5}</author>
    <author>tc={F14A21B6-1942-4654-91C4-BD870B931D08}</author>
    <author>tc={E46DA710-2969-405D-A2C3-E26B59C06DE2}</author>
    <author>tc={07CA5932-3D79-4AF0-8A95-DA7492B13F62}</author>
    <author>tc={4B0FC84A-6455-4E2A-B813-673035338AED}</author>
    <author>tc={7A005ECD-75FB-44FA-B597-2D11BDFC788F}</author>
    <author>tc={18617E50-461A-4EBA-ABB6-C53AAC1A11BA}</author>
    <author>tc={0F8B1F7E-3545-4DCA-BCCB-944E7BAEE1F0}</author>
    <author>tc={F4FFA57A-ED93-4C4B-8F63-98C9892A98B9}</author>
    <author>tc={330A8942-125C-4B56-A1DE-AAFA38DDCEBA}</author>
    <author>tc={150D7A9A-121D-4D52-8446-D67DB7085F14}</author>
  </authors>
  <commentList>
    <comment ref="V2" authorId="0" shapeId="0" xr:uid="{BB0F6438-BC37-4EC7-AFFC-5AF2B2F5EB04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Norme EN 437</t>
      </text>
    </comment>
    <comment ref="D6" authorId="1" shapeId="0" xr:uid="{B50950C6-9466-4CFA-9FD0-0C1C2A41C217}">
      <text>
        <t xml:space="preserve"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Hybrid heatpump P design </t>
      </text>
    </comment>
    <comment ref="D7" authorId="2" shapeId="0" xr:uid="{DF5F2A80-1B7C-474F-B64D-0AA5F7AC6E03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temperature above which the boiler is shut down (EN14825 6.1)</t>
      </text>
    </comment>
    <comment ref="D8" authorId="3" shapeId="0" xr:uid="{353F39A8-480A-44B9-9B10-65D75F5BC31E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temperature below which the boiler is shut down (EN14825 6.1)</t>
      </text>
    </comment>
    <comment ref="P17" authorId="4" shapeId="0" xr:uid="{27282D04-4428-4E30-AEE3-5142097F3879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est la consommation d’électricité auxiliaire en kW à pleine charge</t>
      </text>
    </comment>
    <comment ref="Q17" authorId="5" shapeId="0" xr:uid="{6CC7A0D9-9E93-4DB3-875C-2F381CE73CA2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Données fiche ErP Produit (Chaudière)</t>
      </text>
    </comment>
    <comment ref="P18" authorId="6" shapeId="0" xr:uid="{5E92B334-CD46-4F9B-B22D-4DBF08BCC419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est la consommation d’électricité auxiliaire en kW à charge partielle</t>
      </text>
    </comment>
    <comment ref="Q18" authorId="7" shapeId="0" xr:uid="{52EC4B0F-02E9-4178-B5DC-F7989CE388A0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Données fiche ErP Produit (Chaudière)</t>
      </text>
    </comment>
    <comment ref="M19" authorId="8" shapeId="0" xr:uid="{023BB244-EFCC-4A32-8D1A-054A04850BC3}">
      <text>
        <t xml:space="preserve"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Règlement 813/2013 : «coefficient de conversion» (CC), le coefficient, visé dans la directive 2012/27/UE du Parlement européen et du Conseil, qui correspond au rendement énergétique moyen de l’Union européenne, estimé à 40 %; la valeur du coefficient de conversion est CC = 2,5 </t>
      </text>
    </comment>
    <comment ref="P19" authorId="9" shapeId="0" xr:uid="{27754144-987A-43C8-9BE2-2AC916498780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consommation d’électricité auxiliaire en kW en mode veille</t>
      </text>
    </comment>
    <comment ref="Q19" authorId="10" shapeId="0" xr:uid="{2C6D25A9-D4AF-4E18-A227-E633C4938491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Données fiche ErP Produit (Chaudière)</t>
      </text>
    </comment>
    <comment ref="P20" authorId="11" shapeId="0" xr:uid="{44D8EBF0-4449-4477-85D8-3AB4D4C369F1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Pertes thermiques en régime stabilisé  kW</t>
      </text>
    </comment>
    <comment ref="Q20" authorId="12" shapeId="0" xr:uid="{B3D920C1-FA48-480F-AF42-07FE37DBA7A0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Données fiche ErP Produit (Chaudière)</t>
      </text>
    </comment>
    <comment ref="P21" authorId="13" shapeId="0" xr:uid="{BADC8CA2-204C-43F3-824E-C76A77815F38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Débit calorifique du brûleur d’allumage  kW</t>
      </text>
    </comment>
    <comment ref="Q21" authorId="14" shapeId="0" xr:uid="{4247CC66-92D8-4E25-9C8A-15B5EAB93068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Données fiche ErP Produit (Chaudière)</t>
      </text>
    </comment>
    <comment ref="L23" authorId="15" shapeId="0" xr:uid="{2CB62F6C-3D8A-47DD-AE00-5B8B81752E98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Le facteur de correction F(1) en % représente une contribution négative à l’efficacité énergétique
saisonnière pour le chauffage des locaux correspondant à l’absence de régulateurs de température. 
F(1) = 3 selon l’EN 15502-1 et le règlement 813/2013</t>
      </text>
    </comment>
    <comment ref="M25" authorId="16" shapeId="0" xr:uid="{406D7E8D-864C-4806-8343-FC3533396DF5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Données fiche ErP Produit (Chaudière)</t>
      </text>
    </comment>
    <comment ref="C26" authorId="17" shapeId="0" xr:uid="{F14A21B6-1942-4654-91C4-BD870B931D08}">
      <text>
        <t xml:space="preserve"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ErP product sheet data (heatpump) </t>
      </text>
    </comment>
    <comment ref="M26" authorId="18" shapeId="0" xr:uid="{E46DA710-2969-405D-A2C3-E26B59C06DE2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Données fiche ErP Produit (Chaudière)</t>
      </text>
    </comment>
    <comment ref="A27" authorId="19" shapeId="0" xr:uid="{07CA5932-3D79-4AF0-8A95-DA7492B13F62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consommation d’électricité en mode arrêt par thermostat</t>
      </text>
    </comment>
    <comment ref="M27" authorId="20" shapeId="0" xr:uid="{4B0FC84A-6455-4E2A-B813-673035338AED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Données fiche ErP Produit (Chaudière)</t>
      </text>
    </comment>
    <comment ref="A28" authorId="21" shapeId="0" xr:uid="{7A005ECD-75FB-44FA-B597-2D11BDFC788F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consommation d’électricité en mode veille</t>
      </text>
    </comment>
    <comment ref="M28" authorId="22" shapeId="0" xr:uid="{18617E50-461A-4EBA-ABB6-C53AAC1A11BA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Données fiche ErP Produit (Chaudière)</t>
      </text>
    </comment>
    <comment ref="A29" authorId="23" shapeId="0" xr:uid="{0F8B1F7E-3545-4DCA-BCCB-944E7BAEE1F0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consommation d’électricité en mode arrêt</t>
      </text>
    </comment>
    <comment ref="A30" authorId="24" shapeId="0" xr:uid="{F4FFA57A-ED93-4C4B-8F63-98C9892A98B9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consommation d’électricité en mode résistance de carter active</t>
      </text>
    </comment>
    <comment ref="C32" authorId="25" shapeId="0" xr:uid="{330A8942-125C-4B56-A1DE-AAFA38DDCEBA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F(2)#0 seul pour les appareils eau/eau</t>
      </text>
    </comment>
    <comment ref="Q35" authorId="26" shapeId="0" xr:uid="{150D7A9A-121D-4D52-8446-D67DB7085F14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EN 14825 8.3.4.1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tc={DC396684-3226-4481-BB0C-104CFF77EF3B}</author>
    <author>tc={C6D014E3-71F0-40ED-AB5A-E4A11E525071}</author>
    <author>tc={E3EEB523-44F9-4A11-BC97-AC5730C17875}</author>
    <author>tc={D94A9763-7E29-417D-B5F0-56B2C7D75666}</author>
    <author>tc={49C1C504-B80E-4BA2-BCC9-505AC6F41BEA}</author>
    <author>tc={DF5E594D-FCED-42E4-844A-8458BF9031FD}</author>
    <author>tc={5E0E39F3-20D6-47BD-8AEB-9D2C1A350A51}</author>
    <author>tc={6AACFC34-0E2A-4683-AA03-9030C9D861FB}</author>
    <author>tc={E437B1FD-8034-4E2F-AF63-670A89B59509}</author>
    <author>tc={7259C5B6-6453-40E0-AF6E-3D24F7C9D357}</author>
    <author>tc={ADFF5DA7-64F1-4797-AFB7-1FC9FC98A35B}</author>
    <author>tc={51C6040C-3E10-4E16-9388-E6A063CB04DA}</author>
    <author>tc={2D9866D9-DFE1-461F-979C-E88C8D778D2A}</author>
    <author>tc={8E87ED76-FEC7-482B-855B-52206AF483F6}</author>
  </authors>
  <commentList>
    <comment ref="U2" authorId="0" shapeId="0" xr:uid="{DC396684-3226-4481-BB0C-104CFF77EF3B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Norme EN 437</t>
      </text>
    </comment>
    <comment ref="E6" authorId="1" shapeId="0" xr:uid="{C6D014E3-71F0-40ED-AB5A-E4A11E525071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Données déclarées par le fabricant (PAC hybride)</t>
      </text>
    </comment>
    <comment ref="E7" authorId="2" shapeId="0" xr:uid="{E3EEB523-44F9-4A11-BC97-AC5730C17875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Données déclarées par le fabricant (PAC hybride)</t>
      </text>
    </comment>
    <comment ref="E8" authorId="3" shapeId="0" xr:uid="{D94A9763-7E29-417D-B5F0-56B2C7D75666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Données déclarées par le fabricant (PAC hybride)</t>
      </text>
    </comment>
    <comment ref="E14" authorId="4" shapeId="0" xr:uid="{49C1C504-B80E-4BA2-BCC9-505AC6F41BEA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Données d'essais selon la méthode combinée de la norme 14825</t>
      </text>
    </comment>
    <comment ref="F14" authorId="5" shapeId="0" xr:uid="{DF5E594D-FCED-42E4-844A-8458BF9031FD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Données d'essais selon la méthode combinée de la norme 14825</t>
      </text>
    </comment>
    <comment ref="G14" authorId="6" shapeId="0" xr:uid="{5E0E39F3-20D6-47BD-8AEB-9D2C1A350A51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Données d'essais selon la méthode combinée de la norme 14825</t>
      </text>
    </comment>
    <comment ref="J14" authorId="7" shapeId="0" xr:uid="{6AACFC34-0E2A-4683-AA03-9030C9D861FB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Données d'essais selon la méthode combinée de la norme 14825</t>
      </text>
    </comment>
    <comment ref="K14" authorId="8" shapeId="0" xr:uid="{E437B1FD-8034-4E2F-AF63-670A89B59509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Données d'essais selon la méthode combinée de la norme 14825</t>
      </text>
    </comment>
    <comment ref="C24" authorId="9" shapeId="0" xr:uid="{7259C5B6-6453-40E0-AF6E-3D24F7C9D357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Données déclarées par le fabricant</t>
      </text>
    </comment>
    <comment ref="A25" authorId="10" shapeId="0" xr:uid="{ADFF5DA7-64F1-4797-AFB7-1FC9FC98A35B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consommation d’électricité en mode arrêt par thermostat</t>
      </text>
    </comment>
    <comment ref="A26" authorId="11" shapeId="0" xr:uid="{51C6040C-3E10-4E16-9388-E6A063CB04DA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consommation d’électricité en mode veille</t>
      </text>
    </comment>
    <comment ref="A27" authorId="12" shapeId="0" xr:uid="{2D9866D9-DFE1-461F-979C-E88C8D778D2A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consommation d’électricité en mode arrêt</t>
      </text>
    </comment>
    <comment ref="A28" authorId="13" shapeId="0" xr:uid="{8E87ED76-FEC7-482B-855B-52206AF483F6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consommation d’électricité en mode résistance de carter active</t>
      </text>
    </comment>
  </commentList>
</comments>
</file>

<file path=xl/sharedStrings.xml><?xml version="1.0" encoding="utf-8"?>
<sst xmlns="http://schemas.openxmlformats.org/spreadsheetml/2006/main" count="257" uniqueCount="147">
  <si>
    <t>Performance data</t>
  </si>
  <si>
    <t>Condition</t>
  </si>
  <si>
    <t>Outdoor air T°C</t>
  </si>
  <si>
    <t>Reference conditions</t>
  </si>
  <si>
    <t>°C</t>
  </si>
  <si>
    <t>CR</t>
  </si>
  <si>
    <t>A</t>
  </si>
  <si>
    <t>B</t>
  </si>
  <si>
    <t>C</t>
  </si>
  <si>
    <t>D</t>
  </si>
  <si>
    <t>j</t>
  </si>
  <si>
    <t xml:space="preserve">Bin </t>
  </si>
  <si>
    <t>Tj</t>
  </si>
  <si>
    <t xml:space="preserve">Hours </t>
  </si>
  <si>
    <t>hj</t>
  </si>
  <si>
    <t>-</t>
  </si>
  <si>
    <t>kWh</t>
  </si>
  <si>
    <t>Part load ratio</t>
  </si>
  <si>
    <t>Climate</t>
  </si>
  <si>
    <t>average</t>
  </si>
  <si>
    <t>Annual heating demand</t>
  </si>
  <si>
    <t>SCOPon</t>
  </si>
  <si>
    <t>SCOP</t>
  </si>
  <si>
    <t>Hours</t>
  </si>
  <si>
    <t>hours</t>
  </si>
  <si>
    <t>Tdesignh</t>
  </si>
  <si>
    <t>Pdesignh</t>
  </si>
  <si>
    <r>
      <t>C</t>
    </r>
    <r>
      <rPr>
        <vertAlign val="subscript"/>
        <sz val="12"/>
        <rFont val="Trebuchet MS"/>
        <family val="2"/>
      </rPr>
      <t>dh</t>
    </r>
  </si>
  <si>
    <t>Power input (W)</t>
  </si>
  <si>
    <t>Water outlet temperature</t>
  </si>
  <si>
    <t>Temperature application</t>
  </si>
  <si>
    <t>Water flow</t>
  </si>
  <si>
    <t>fixed</t>
  </si>
  <si>
    <t>variable</t>
  </si>
  <si>
    <t>Declared Capacity (kW)</t>
  </si>
  <si>
    <t>Type of heat pump</t>
  </si>
  <si>
    <t>Capacity control</t>
  </si>
  <si>
    <r>
      <t>COP</t>
    </r>
    <r>
      <rPr>
        <vertAlign val="subscript"/>
        <sz val="12"/>
        <rFont val="Trebuchet MS"/>
        <family val="2"/>
      </rPr>
      <t>bin</t>
    </r>
  </si>
  <si>
    <t>outdoor air-to-water</t>
  </si>
  <si>
    <t>Manufacturer</t>
  </si>
  <si>
    <t>Product reference</t>
  </si>
  <si>
    <t>heating only</t>
  </si>
  <si>
    <t>Outdoor air temp.</t>
  </si>
  <si>
    <t>Heat demand (kW)</t>
  </si>
  <si>
    <t>Ph(tj)</t>
  </si>
  <si>
    <t>hj * Ph(Tj)</t>
  </si>
  <si>
    <t>Part Load (kW)</t>
  </si>
  <si>
    <t>Part load ratio (%)</t>
  </si>
  <si>
    <t>Operating mode</t>
  </si>
  <si>
    <t xml:space="preserve">kW </t>
  </si>
  <si>
    <r>
      <t>Q</t>
    </r>
    <r>
      <rPr>
        <b/>
        <vertAlign val="subscript"/>
        <sz val="12"/>
        <rFont val="Trebuchet MS"/>
        <family val="2"/>
      </rPr>
      <t>HE</t>
    </r>
    <r>
      <rPr>
        <b/>
        <sz val="12"/>
        <rFont val="Trebuchet MS"/>
        <family val="2"/>
      </rPr>
      <t xml:space="preserve"> (kWh)</t>
    </r>
  </si>
  <si>
    <r>
      <t>H</t>
    </r>
    <r>
      <rPr>
        <vertAlign val="subscript"/>
        <sz val="12"/>
        <rFont val="Trebuchet MS"/>
        <family val="2"/>
      </rPr>
      <t>HE</t>
    </r>
  </si>
  <si>
    <r>
      <t>Q</t>
    </r>
    <r>
      <rPr>
        <vertAlign val="subscript"/>
        <sz val="12"/>
        <rFont val="Trebuchet MS"/>
        <family val="2"/>
      </rPr>
      <t>H</t>
    </r>
  </si>
  <si>
    <r>
      <t>COP</t>
    </r>
    <r>
      <rPr>
        <vertAlign val="subscript"/>
        <sz val="12"/>
        <rFont val="Trebuchet MS"/>
        <family val="2"/>
      </rPr>
      <t>bin</t>
    </r>
    <r>
      <rPr>
        <sz val="12"/>
        <rFont val="Trebuchet MS"/>
        <family val="2"/>
      </rPr>
      <t>(Tj)</t>
    </r>
  </si>
  <si>
    <t>P * h              (kWh)</t>
  </si>
  <si>
    <t>Energy Efficiency</t>
  </si>
  <si>
    <t>COPd</t>
  </si>
  <si>
    <t>Pl(Tj)</t>
  </si>
  <si>
    <t xml:space="preserve">Auxiliairy modes </t>
  </si>
  <si>
    <t>BIn temperature calculation</t>
  </si>
  <si>
    <t>Annual energy consumption</t>
  </si>
  <si>
    <t>sum</t>
  </si>
  <si>
    <t>hj*sum</t>
  </si>
  <si>
    <t>HP capacity</t>
  </si>
  <si>
    <t>Heat pump</t>
  </si>
  <si>
    <t>(Ph(Tj)-Psup(Tj))/COPbin(Tj)</t>
  </si>
  <si>
    <t>etas_on</t>
  </si>
  <si>
    <t>%</t>
  </si>
  <si>
    <t>CC</t>
  </si>
  <si>
    <t>F2</t>
  </si>
  <si>
    <t>F3</t>
  </si>
  <si>
    <t>F4</t>
  </si>
  <si>
    <t>Ph(Tj)/COPbin(Tj)</t>
  </si>
  <si>
    <t>hj*Ph(Tj)/COPbin(Tj)</t>
  </si>
  <si>
    <r>
      <rPr>
        <b/>
        <sz val="14"/>
        <rFont val="Symbol"/>
        <family val="1"/>
        <charset val="2"/>
      </rPr>
      <t>h</t>
    </r>
    <r>
      <rPr>
        <b/>
        <vertAlign val="subscript"/>
        <sz val="14"/>
        <rFont val="Trebuchet MS"/>
        <family val="2"/>
      </rPr>
      <t>s,h</t>
    </r>
  </si>
  <si>
    <t>Pour calculer la Pdecl dans chaque condition de T et le cop correspondant</t>
  </si>
  <si>
    <t>Puissance decalrer des condition de T directement supérieur à cette conditon</t>
  </si>
  <si>
    <t>ou il ya des lettre:1</t>
  </si>
  <si>
    <t>chang. Di Tj avec les condition clim.</t>
  </si>
  <si>
    <t>Tj du condition directement supérieur</t>
  </si>
  <si>
    <t>P declared</t>
  </si>
  <si>
    <t>GUE</t>
  </si>
  <si>
    <t>E</t>
  </si>
  <si>
    <t>cop</t>
  </si>
  <si>
    <t>Inlet/outletwater temperature for testing</t>
  </si>
  <si>
    <t xml:space="preserve">1+(F2+F3+F4/etasup) ou </t>
  </si>
  <si>
    <t>etas_on-F(1)/etas_on</t>
  </si>
  <si>
    <t>F(1)</t>
  </si>
  <si>
    <t>F(2)</t>
  </si>
  <si>
    <t>Psup(Tj)/(etas*CC)</t>
  </si>
  <si>
    <t>etas_s</t>
  </si>
  <si>
    <t>η1</t>
  </si>
  <si>
    <t>η4</t>
  </si>
  <si>
    <t>copbin</t>
  </si>
  <si>
    <t>electric consumption Pelec (kW)</t>
  </si>
  <si>
    <t>fossil fuel consumption Qfossil (kW)</t>
  </si>
  <si>
    <t>Psup(Tj) (kW)</t>
  </si>
  <si>
    <t>Electric consumption (kW)</t>
  </si>
  <si>
    <t>Electric consumption (kWh)</t>
  </si>
  <si>
    <t>Pression (hPa)</t>
  </si>
  <si>
    <t>Hs (G20 type H) (Mj/m3 @15°C ) 1013,25 mbar</t>
  </si>
  <si>
    <r>
      <t>COP</t>
    </r>
    <r>
      <rPr>
        <vertAlign val="subscript"/>
        <sz val="12"/>
        <color theme="1"/>
        <rFont val="Trebuchet MS"/>
        <family val="2"/>
      </rPr>
      <t>bin</t>
    </r>
    <r>
      <rPr>
        <sz val="12"/>
        <color theme="1"/>
        <rFont val="Trebuchet MS"/>
        <family val="2"/>
      </rPr>
      <t>(Tj)</t>
    </r>
  </si>
  <si>
    <t>elmax (kW)</t>
  </si>
  <si>
    <t>elmin (kW)</t>
  </si>
  <si>
    <t>P1</t>
  </si>
  <si>
    <t>P4</t>
  </si>
  <si>
    <t>kW</t>
  </si>
  <si>
    <t>PSB (kW)</t>
  </si>
  <si>
    <t>Pign (kW)</t>
  </si>
  <si>
    <t>Pstby (kW)</t>
  </si>
  <si>
    <t>Totale</t>
  </si>
  <si>
    <t>Tbiv</t>
  </si>
  <si>
    <t>TOL</t>
  </si>
  <si>
    <t>E(TOL)</t>
  </si>
  <si>
    <t>F(Tbiv)</t>
  </si>
  <si>
    <t>PTO</t>
  </si>
  <si>
    <t>PSB</t>
  </si>
  <si>
    <t>PCK</t>
  </si>
  <si>
    <t>Pd (kW)</t>
  </si>
  <si>
    <t>Reference conditions (PAC Hybride)</t>
  </si>
  <si>
    <t>Tfb,off</t>
  </si>
  <si>
    <t>Thp,on</t>
  </si>
  <si>
    <t>E(Thp,on)</t>
  </si>
  <si>
    <t>F(Tfb,off)</t>
  </si>
  <si>
    <t>Calculation of the energy efficiency  and the electricity and gas consumption for hybrid heat pumps regarding to EN 14825 separated method (medium temperature regime)</t>
  </si>
  <si>
    <t>Cells colored in green in the Excel file must be filled in with data declared by the manufacturers</t>
  </si>
  <si>
    <t>energy efficiency for heating</t>
  </si>
  <si>
    <t>Data for HP</t>
  </si>
  <si>
    <t>Data for boiler</t>
  </si>
  <si>
    <t>HP coverage rate  (kWh)</t>
  </si>
  <si>
    <t>Annual total gas consumption (kWh)</t>
  </si>
  <si>
    <t>Annual total electricity consumption (kWh)</t>
  </si>
  <si>
    <t>Annual total consumption gas + elec. (kWh)</t>
  </si>
  <si>
    <t>Auxiliair mode (HP)</t>
  </si>
  <si>
    <t>Heating load covered by HP</t>
  </si>
  <si>
    <t>Gas Consumption</t>
  </si>
  <si>
    <t>Qfuel (kWh)</t>
  </si>
  <si>
    <t>Consum Gas (m3/h)</t>
  </si>
  <si>
    <t>Vgas (m3)</t>
  </si>
  <si>
    <t>Qfuel (kW)</t>
  </si>
  <si>
    <t>Qgas (kWh)</t>
  </si>
  <si>
    <t>P HP(kWh)</t>
  </si>
  <si>
    <t>heating demand (kWh)</t>
  </si>
  <si>
    <t>HP coverage (kWh)</t>
  </si>
  <si>
    <t>Boiler coverage (kWh)</t>
  </si>
  <si>
    <t>heating demand HP (kWh)</t>
  </si>
  <si>
    <t>Ƭ Coverage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</si>
</sst>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0.0"/>
    <numFmt numFmtId="166" formatCode="0.00000"/>
    <numFmt numFmtId="167" formatCode="0.000"/>
    <numFmt numFmtId="168" formatCode="0.0%"/>
  </numFmts>
  <fonts count="24" x14ac:knownFonts="1">
    <font>
      <sz val="10"/>
      <name val="Arial"/>
    </font>
    <font>
      <sz val="12"/>
      <name val="Trebuchet MS"/>
      <family val="2"/>
    </font>
    <font>
      <b/>
      <sz val="12"/>
      <name val="Trebuchet MS"/>
      <family val="2"/>
    </font>
    <font>
      <sz val="8"/>
      <name val="Arial"/>
      <family val="2"/>
    </font>
    <font>
      <sz val="10"/>
      <name val="Arial"/>
      <family val="2"/>
    </font>
    <font>
      <vertAlign val="subscript"/>
      <sz val="12"/>
      <name val="Trebuchet MS"/>
      <family val="2"/>
    </font>
    <font>
      <b/>
      <sz val="12"/>
      <color rgb="FFFF0000"/>
      <name val="Trebuchet MS"/>
      <family val="2"/>
    </font>
    <font>
      <b/>
      <sz val="14"/>
      <name val="Trebuchet MS"/>
      <family val="2"/>
    </font>
    <font>
      <b/>
      <sz val="14"/>
      <name val="Symbol"/>
      <family val="1"/>
      <charset val="2"/>
    </font>
    <font>
      <b/>
      <vertAlign val="subscript"/>
      <sz val="14"/>
      <name val="Trebuchet MS"/>
      <family val="2"/>
    </font>
    <font>
      <sz val="10"/>
      <name val="Arial"/>
      <family val="2"/>
    </font>
    <font>
      <b/>
      <vertAlign val="subscript"/>
      <sz val="12"/>
      <name val="Trebuchet MS"/>
      <family val="2"/>
    </font>
    <font>
      <sz val="12"/>
      <color rgb="FFFF0000"/>
      <name val="Trebuchet MS"/>
      <family val="2"/>
    </font>
    <font>
      <sz val="14"/>
      <name val="Trebuchet MS"/>
      <family val="2"/>
    </font>
    <font>
      <sz val="11"/>
      <color rgb="FFFF0000"/>
      <name val="Calibri"/>
      <family val="2"/>
      <scheme val="minor"/>
    </font>
    <font>
      <sz val="12"/>
      <color theme="1"/>
      <name val="Trebuchet MS"/>
      <family val="2"/>
    </font>
    <font>
      <b/>
      <sz val="12"/>
      <color theme="1"/>
      <name val="Trebuchet MS"/>
      <family val="2"/>
    </font>
    <font>
      <sz val="12"/>
      <name val="Calibri"/>
      <family val="2"/>
    </font>
    <font>
      <vertAlign val="subscript"/>
      <sz val="12"/>
      <color theme="1"/>
      <name val="Trebuchet MS"/>
      <family val="2"/>
    </font>
    <font>
      <sz val="11"/>
      <color theme="0"/>
      <name val="Calibri"/>
      <family val="2"/>
      <scheme val="minor"/>
    </font>
    <font>
      <sz val="12"/>
      <color theme="0"/>
      <name val="Trebuchet MS"/>
      <family val="2"/>
    </font>
    <font>
      <b/>
      <sz val="12"/>
      <color theme="0"/>
      <name val="Trebuchet MS"/>
      <family val="2"/>
    </font>
    <font>
      <b/>
      <sz val="18"/>
      <name val="Work Sans"/>
      <family val="3"/>
    </font>
    <font>
      <b/>
      <sz val="14"/>
      <color theme="1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9" fontId="10" fillId="0" borderId="0" applyFont="0" applyFill="0" applyBorder="0" applyAlignment="0" applyProtection="0"/>
  </cellStyleXfs>
  <cellXfs count="139">
    <xf numFmtId="0" fontId="0" fillId="0" borderId="0" xfId="0"/>
    <xf numFmtId="0" fontId="1" fillId="0" borderId="0" xfId="0" applyFont="1" applyAlignment="1" applyProtection="1">
      <alignment horizontal="center" vertical="center"/>
      <protection locked="0"/>
    </xf>
    <xf numFmtId="0" fontId="1" fillId="3" borderId="1" xfId="0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1" fontId="1" fillId="0" borderId="1" xfId="0" applyNumberFormat="1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vertical="center"/>
      <protection locked="0"/>
    </xf>
    <xf numFmtId="2" fontId="1" fillId="0" borderId="1" xfId="0" applyNumberFormat="1" applyFont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2" fontId="1" fillId="0" borderId="0" xfId="1" applyNumberFormat="1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9" fontId="1" fillId="0" borderId="0" xfId="4" applyFont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1" fontId="1" fillId="0" borderId="1" xfId="0" applyNumberFormat="1" applyFont="1" applyBorder="1" applyAlignment="1" applyProtection="1">
      <alignment horizontal="center" vertical="center"/>
      <protection locked="0"/>
    </xf>
    <xf numFmtId="2" fontId="1" fillId="2" borderId="1" xfId="1" applyNumberFormat="1" applyFont="1" applyFill="1" applyBorder="1" applyAlignment="1" applyProtection="1">
      <alignment horizontal="center" vertical="center"/>
      <protection locked="0"/>
    </xf>
    <xf numFmtId="2" fontId="1" fillId="0" borderId="0" xfId="0" applyNumberFormat="1" applyFont="1" applyAlignment="1" applyProtection="1">
      <alignment horizontal="center" vertical="center" wrapText="1"/>
      <protection locked="0"/>
    </xf>
    <xf numFmtId="166" fontId="1" fillId="0" borderId="0" xfId="0" applyNumberFormat="1" applyFont="1" applyAlignment="1" applyProtection="1">
      <alignment horizontal="center" vertical="center" wrapText="1"/>
      <protection locked="0"/>
    </xf>
    <xf numFmtId="2" fontId="1" fillId="0" borderId="0" xfId="0" applyNumberFormat="1" applyFont="1" applyAlignment="1" applyProtection="1">
      <alignment horizontal="center" vertical="center"/>
      <protection locked="0"/>
    </xf>
    <xf numFmtId="166" fontId="1" fillId="0" borderId="0" xfId="0" applyNumberFormat="1" applyFont="1" applyAlignment="1" applyProtection="1">
      <alignment horizontal="center" vertical="center"/>
      <protection locked="0"/>
    </xf>
    <xf numFmtId="0" fontId="7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1" fontId="1" fillId="0" borderId="0" xfId="0" applyNumberFormat="1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12" fillId="0" borderId="0" xfId="0" applyFont="1" applyAlignment="1">
      <alignment horizontal="center" vertical="center"/>
    </xf>
    <xf numFmtId="1" fontId="12" fillId="0" borderId="0" xfId="0" applyNumberFormat="1" applyFont="1" applyAlignment="1" applyProtection="1">
      <alignment horizontal="center" vertical="center"/>
      <protection locked="0"/>
    </xf>
    <xf numFmtId="0" fontId="12" fillId="0" borderId="0" xfId="0" applyFont="1" applyAlignment="1">
      <alignment horizontal="center" vertical="center" wrapText="1"/>
    </xf>
    <xf numFmtId="1" fontId="1" fillId="0" borderId="0" xfId="0" applyNumberFormat="1" applyFont="1" applyAlignment="1" applyProtection="1">
      <alignment horizontal="center" vertical="center"/>
      <protection locked="0"/>
    </xf>
    <xf numFmtId="0" fontId="1" fillId="0" borderId="2" xfId="0" applyFont="1" applyBorder="1" applyAlignment="1">
      <alignment horizontal="center" vertical="center" wrapText="1"/>
    </xf>
    <xf numFmtId="0" fontId="6" fillId="0" borderId="0" xfId="0" applyFont="1" applyAlignment="1" applyProtection="1">
      <alignment horizontal="center" vertical="center"/>
      <protection locked="0"/>
    </xf>
    <xf numFmtId="2" fontId="1" fillId="0" borderId="1" xfId="1" applyNumberFormat="1" applyFont="1" applyBorder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center" vertical="center" wrapText="1"/>
      <protection locked="0"/>
    </xf>
    <xf numFmtId="167" fontId="1" fillId="0" borderId="0" xfId="0" applyNumberFormat="1" applyFont="1" applyAlignment="1" applyProtection="1">
      <alignment horizontal="center" vertical="center"/>
      <protection locked="0"/>
    </xf>
    <xf numFmtId="167" fontId="1" fillId="0" borderId="0" xfId="0" applyNumberFormat="1" applyFont="1" applyAlignment="1" applyProtection="1">
      <alignment vertical="center"/>
      <protection locked="0"/>
    </xf>
    <xf numFmtId="10" fontId="1" fillId="0" borderId="0" xfId="4" applyNumberFormat="1" applyFont="1" applyFill="1" applyBorder="1" applyAlignment="1" applyProtection="1">
      <alignment horizontal="center" vertical="center" wrapText="1"/>
      <protection locked="0"/>
    </xf>
    <xf numFmtId="168" fontId="1" fillId="0" borderId="1" xfId="0" applyNumberFormat="1" applyFont="1" applyBorder="1" applyAlignment="1" applyProtection="1">
      <alignment horizontal="center" vertical="center"/>
      <protection locked="0"/>
    </xf>
    <xf numFmtId="0" fontId="1" fillId="3" borderId="0" xfId="0" applyFont="1" applyFill="1" applyAlignment="1" applyProtection="1">
      <alignment horizontal="center" vertical="center"/>
      <protection locked="0"/>
    </xf>
    <xf numFmtId="168" fontId="1" fillId="0" borderId="0" xfId="0" applyNumberFormat="1" applyFont="1" applyAlignment="1" applyProtection="1">
      <alignment horizontal="center" vertical="center"/>
      <protection locked="0"/>
    </xf>
    <xf numFmtId="0" fontId="17" fillId="0" borderId="1" xfId="0" applyFont="1" applyBorder="1" applyAlignment="1" applyProtection="1">
      <alignment horizontal="center" vertical="center"/>
      <protection locked="0"/>
    </xf>
    <xf numFmtId="2" fontId="15" fillId="2" borderId="1" xfId="1" applyNumberFormat="1" applyFont="1" applyFill="1" applyBorder="1" applyAlignment="1" applyProtection="1">
      <alignment horizontal="center" vertical="center"/>
      <protection locked="0"/>
    </xf>
    <xf numFmtId="0" fontId="4" fillId="0" borderId="0" xfId="0" applyFont="1"/>
    <xf numFmtId="2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" xfId="0" applyNumberFormat="1" applyFont="1" applyFill="1" applyBorder="1" applyAlignment="1" applyProtection="1">
      <alignment horizontal="center" vertical="center"/>
      <protection locked="0"/>
    </xf>
    <xf numFmtId="0" fontId="16" fillId="0" borderId="1" xfId="0" applyFont="1" applyBorder="1" applyAlignment="1" applyProtection="1">
      <alignment horizontal="center" vertical="center"/>
      <protection locked="0"/>
    </xf>
    <xf numFmtId="0" fontId="15" fillId="0" borderId="1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15" fillId="0" borderId="0" xfId="0" applyFont="1" applyAlignment="1" applyProtection="1">
      <alignment horizontal="center" vertical="center" wrapText="1"/>
      <protection locked="0"/>
    </xf>
    <xf numFmtId="167" fontId="16" fillId="0" borderId="1" xfId="0" applyNumberFormat="1" applyFont="1" applyBorder="1" applyAlignment="1" applyProtection="1">
      <alignment horizontal="center" vertical="center"/>
      <protection locked="0"/>
    </xf>
    <xf numFmtId="166" fontId="16" fillId="0" borderId="1" xfId="0" applyNumberFormat="1" applyFont="1" applyBorder="1" applyAlignment="1" applyProtection="1">
      <alignment horizontal="center" vertical="center"/>
      <protection locked="0"/>
    </xf>
    <xf numFmtId="165" fontId="16" fillId="0" borderId="1" xfId="0" applyNumberFormat="1" applyFont="1" applyBorder="1" applyAlignment="1" applyProtection="1">
      <alignment horizontal="center" vertical="center"/>
      <protection locked="0"/>
    </xf>
    <xf numFmtId="1" fontId="16" fillId="0" borderId="1" xfId="0" applyNumberFormat="1" applyFont="1" applyBorder="1" applyAlignment="1" applyProtection="1">
      <alignment horizontal="center" vertical="center"/>
      <protection locked="0"/>
    </xf>
    <xf numFmtId="2" fontId="15" fillId="0" borderId="1" xfId="0" applyNumberFormat="1" applyFont="1" applyBorder="1" applyAlignment="1" applyProtection="1">
      <alignment horizontal="center" vertical="center" wrapText="1"/>
      <protection locked="0"/>
    </xf>
    <xf numFmtId="0" fontId="15" fillId="0" borderId="1" xfId="0" applyFont="1" applyBorder="1" applyAlignment="1" applyProtection="1">
      <alignment horizontal="center" vertical="center" wrapText="1"/>
      <protection locked="0"/>
    </xf>
    <xf numFmtId="2" fontId="2" fillId="0" borderId="0" xfId="0" applyNumberFormat="1" applyFont="1" applyAlignment="1" applyProtection="1">
      <alignment horizontal="center" vertical="center"/>
      <protection locked="0"/>
    </xf>
    <xf numFmtId="1" fontId="2" fillId="0" borderId="0" xfId="0" applyNumberFormat="1" applyFont="1" applyAlignment="1" applyProtection="1">
      <alignment horizontal="center" vertical="center"/>
      <protection locked="0"/>
    </xf>
    <xf numFmtId="0" fontId="14" fillId="0" borderId="0" xfId="0" applyFont="1" applyProtection="1">
      <protection hidden="1"/>
    </xf>
    <xf numFmtId="2" fontId="15" fillId="0" borderId="1" xfId="0" applyNumberFormat="1" applyFont="1" applyBorder="1" applyAlignment="1" applyProtection="1">
      <alignment horizontal="center" vertical="center"/>
      <protection locked="0"/>
    </xf>
    <xf numFmtId="0" fontId="0" fillId="0" borderId="1" xfId="0" applyBorder="1"/>
    <xf numFmtId="165" fontId="1" fillId="0" borderId="1" xfId="0" applyNumberFormat="1" applyFont="1" applyBorder="1" applyAlignment="1" applyProtection="1">
      <alignment horizontal="center" vertical="center"/>
      <protection locked="0"/>
    </xf>
    <xf numFmtId="0" fontId="15" fillId="0" borderId="11" xfId="0" applyFont="1" applyBorder="1" applyAlignment="1">
      <alignment horizontal="center" vertical="center" wrapText="1"/>
    </xf>
    <xf numFmtId="0" fontId="15" fillId="0" borderId="11" xfId="0" applyFont="1" applyBorder="1" applyAlignment="1" applyProtection="1">
      <alignment horizontal="center" vertical="center" wrapText="1"/>
      <protection locked="0"/>
    </xf>
    <xf numFmtId="0" fontId="16" fillId="0" borderId="1" xfId="0" applyFont="1" applyBorder="1" applyAlignment="1" applyProtection="1">
      <alignment horizontal="center" vertical="center" wrapText="1"/>
      <protection locked="0"/>
    </xf>
    <xf numFmtId="0" fontId="15" fillId="0" borderId="1" xfId="0" applyFont="1" applyBorder="1" applyAlignment="1">
      <alignment horizontal="center" vertical="center" wrapText="1"/>
    </xf>
    <xf numFmtId="1" fontId="15" fillId="0" borderId="1" xfId="0" applyNumberFormat="1" applyFont="1" applyBorder="1" applyAlignment="1" applyProtection="1">
      <alignment horizontal="center" vertical="center" wrapText="1"/>
      <protection locked="0"/>
    </xf>
    <xf numFmtId="0" fontId="15" fillId="0" borderId="1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5" fillId="0" borderId="0" xfId="0" applyFont="1" applyAlignment="1" applyProtection="1">
      <alignment horizontal="center" vertical="center"/>
      <protection locked="0"/>
    </xf>
    <xf numFmtId="0" fontId="15" fillId="0" borderId="0" xfId="0" applyFont="1" applyAlignment="1">
      <alignment horizontal="center" vertical="center"/>
    </xf>
    <xf numFmtId="0" fontId="16" fillId="0" borderId="0" xfId="0" applyFont="1" applyAlignment="1" applyProtection="1">
      <alignment horizontal="center" vertical="center"/>
      <protection locked="0"/>
    </xf>
    <xf numFmtId="2" fontId="16" fillId="0" borderId="0" xfId="0" applyNumberFormat="1" applyFont="1" applyAlignment="1" applyProtection="1">
      <alignment horizontal="center" vertical="center"/>
      <protection locked="0"/>
    </xf>
    <xf numFmtId="1" fontId="16" fillId="0" borderId="0" xfId="0" applyNumberFormat="1" applyFont="1" applyAlignment="1" applyProtection="1">
      <alignment horizontal="center" vertical="center"/>
      <protection locked="0"/>
    </xf>
    <xf numFmtId="0" fontId="19" fillId="0" borderId="0" xfId="0" applyFont="1" applyProtection="1">
      <protection hidden="1"/>
    </xf>
    <xf numFmtId="0" fontId="20" fillId="0" borderId="0" xfId="0" applyFont="1" applyAlignment="1" applyProtection="1">
      <alignment horizontal="center" vertical="center" wrapText="1"/>
      <protection locked="0"/>
    </xf>
    <xf numFmtId="0" fontId="19" fillId="0" borderId="0" xfId="0" applyFont="1" applyAlignment="1" applyProtection="1">
      <alignment wrapText="1"/>
      <protection hidden="1"/>
    </xf>
    <xf numFmtId="0" fontId="21" fillId="0" borderId="0" xfId="0" applyFont="1" applyAlignment="1" applyProtection="1">
      <alignment horizontal="center" vertical="center" wrapText="1"/>
      <protection locked="0"/>
    </xf>
    <xf numFmtId="0" fontId="20" fillId="0" borderId="0" xfId="0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center" vertical="center"/>
      <protection locked="0"/>
    </xf>
    <xf numFmtId="2" fontId="19" fillId="0" borderId="0" xfId="0" applyNumberFormat="1" applyFont="1" applyProtection="1">
      <protection hidden="1"/>
    </xf>
    <xf numFmtId="0" fontId="2" fillId="2" borderId="1" xfId="0" applyFont="1" applyFill="1" applyBorder="1" applyAlignment="1">
      <alignment horizontal="center" vertical="center"/>
    </xf>
    <xf numFmtId="2" fontId="16" fillId="0" borderId="1" xfId="0" applyNumberFormat="1" applyFont="1" applyBorder="1" applyAlignment="1" applyProtection="1">
      <alignment horizontal="center" vertical="center"/>
      <protection locked="0"/>
    </xf>
    <xf numFmtId="0" fontId="16" fillId="0" borderId="0" xfId="0" applyFont="1" applyAlignment="1">
      <alignment horizontal="center" vertical="center"/>
    </xf>
    <xf numFmtId="0" fontId="7" fillId="0" borderId="0" xfId="0" applyFont="1" applyAlignment="1" applyProtection="1">
      <alignment horizontal="left" vertical="center"/>
      <protection locked="0"/>
    </xf>
    <xf numFmtId="0" fontId="22" fillId="0" borderId="0" xfId="0" applyFont="1"/>
    <xf numFmtId="0" fontId="2" fillId="0" borderId="8" xfId="0" applyFont="1" applyBorder="1" applyAlignment="1">
      <alignment horizontal="center" vertical="center"/>
    </xf>
    <xf numFmtId="0" fontId="15" fillId="0" borderId="1" xfId="0" applyFont="1" applyBorder="1" applyAlignment="1" applyProtection="1">
      <alignment vertical="center"/>
      <protection locked="0"/>
    </xf>
    <xf numFmtId="1" fontId="2" fillId="0" borderId="1" xfId="0" applyNumberFormat="1" applyFont="1" applyBorder="1" applyAlignment="1" applyProtection="1">
      <alignment horizontal="center" vertical="center"/>
      <protection locked="0"/>
    </xf>
    <xf numFmtId="0" fontId="2" fillId="2" borderId="10" xfId="0" applyFont="1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2" fontId="15" fillId="0" borderId="1" xfId="0" applyNumberFormat="1" applyFont="1" applyBorder="1" applyAlignment="1" applyProtection="1">
      <alignment vertical="center"/>
      <protection locked="0"/>
    </xf>
    <xf numFmtId="2" fontId="0" fillId="0" borderId="0" xfId="0" applyNumberFormat="1"/>
    <xf numFmtId="0" fontId="4" fillId="0" borderId="9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2" fontId="0" fillId="0" borderId="8" xfId="0" applyNumberFormat="1" applyBorder="1"/>
    <xf numFmtId="2" fontId="0" fillId="0" borderId="12" xfId="0" applyNumberFormat="1" applyBorder="1"/>
    <xf numFmtId="2" fontId="0" fillId="0" borderId="10" xfId="0" applyNumberFormat="1" applyBorder="1"/>
    <xf numFmtId="0" fontId="0" fillId="0" borderId="10" xfId="0" applyBorder="1"/>
    <xf numFmtId="0" fontId="15" fillId="0" borderId="9" xfId="0" applyFont="1" applyBorder="1" applyAlignment="1" applyProtection="1">
      <alignment horizontal="center" vertical="center" wrapText="1"/>
      <protection locked="0"/>
    </xf>
    <xf numFmtId="0" fontId="15" fillId="0" borderId="6" xfId="0" applyFont="1" applyBorder="1" applyAlignment="1" applyProtection="1">
      <alignment horizontal="center" vertical="center" wrapText="1"/>
      <protection locked="0"/>
    </xf>
    <xf numFmtId="0" fontId="2" fillId="2" borderId="8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" fillId="2" borderId="8" xfId="0" applyFont="1" applyFill="1" applyBorder="1" applyAlignment="1" applyProtection="1">
      <alignment horizontal="center" vertical="center" wrapText="1"/>
      <protection locked="0"/>
    </xf>
    <xf numFmtId="0" fontId="1" fillId="2" borderId="0" xfId="0" applyFont="1" applyFill="1" applyAlignment="1" applyProtection="1">
      <alignment horizontal="center" vertical="center" wrapText="1"/>
      <protection locked="0"/>
    </xf>
    <xf numFmtId="0" fontId="15" fillId="0" borderId="4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1" xfId="0" applyFont="1" applyBorder="1" applyAlignment="1" applyProtection="1">
      <alignment horizontal="center" vertical="center" wrapText="1"/>
      <protection locked="0"/>
    </xf>
    <xf numFmtId="0" fontId="15" fillId="0" borderId="6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167" fontId="1" fillId="0" borderId="1" xfId="0" applyNumberFormat="1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23" fillId="0" borderId="1" xfId="0" applyFont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4" fillId="4" borderId="0" xfId="0" applyFont="1" applyFill="1" applyAlignment="1">
      <alignment horizontal="center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</cellXfs>
  <cellStyles count="5">
    <cellStyle name="Dezimal 2" xfId="2" xr:uid="{00000000-0005-0000-0000-000000000000}"/>
    <cellStyle name="Normal" xfId="0" builtinId="0"/>
    <cellStyle name="Normal 2" xfId="1" xr:uid="{00000000-0005-0000-0000-000002000000}"/>
    <cellStyle name="Pourcentage" xfId="4" builtinId="5"/>
    <cellStyle name="Standard 2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2.xml"/><Relationship Id="rId5" Type="http://schemas.openxmlformats.org/officeDocument/2006/relationships/styles" Target="styles.xml"/><Relationship Id="rId10" Type="http://schemas.openxmlformats.org/officeDocument/2006/relationships/customXml" Target="../customXml/item1.xml"/><Relationship Id="rId4" Type="http://schemas.openxmlformats.org/officeDocument/2006/relationships/theme" Target="theme/theme1.xml"/><Relationship Id="rId9" Type="http://schemas.microsoft.com/office/2006/relationships/vbaProject" Target="vbaProject.bin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0</xdr:colOff>
      <xdr:row>33</xdr:row>
      <xdr:rowOff>284480</xdr:rowOff>
    </xdr:from>
    <xdr:ext cx="184731" cy="264560"/>
    <xdr:sp macro="" textlink="">
      <xdr:nvSpPr>
        <xdr:cNvPr id="6" name="ZoneText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12933680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0</xdr:colOff>
      <xdr:row>33</xdr:row>
      <xdr:rowOff>284480</xdr:rowOff>
    </xdr:from>
    <xdr:ext cx="184731" cy="264560"/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2045950" y="86410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Hicham OSSMAN" id="{16A42119-1315-4B9F-83B8-606A4A5E84CC}" userId="S::hicham.ossman@cetiat.fr::eab9b1bc-7534-4018-a970-eebf685e0c04" providerId="AD"/>
</personList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V2" dT="2025-01-10T08:20:02.85" personId="{16A42119-1315-4B9F-83B8-606A4A5E84CC}" id="{BB0F6438-BC37-4EC7-AFFC-5AF2B2F5EB04}">
    <text>Norme EN 437</text>
  </threadedComment>
  <threadedComment ref="D6" dT="2025-02-28T09:47:56.86" personId="{16A42119-1315-4B9F-83B8-606A4A5E84CC}" id="{B50950C6-9466-4CFA-9FD0-0C1C2A41C217}">
    <text xml:space="preserve">Hybrid heatpump P design </text>
  </threadedComment>
  <threadedComment ref="D7" dT="2025-02-28T09:47:36.21" personId="{16A42119-1315-4B9F-83B8-606A4A5E84CC}" id="{DF5F2A80-1B7C-474F-B64D-0AA5F7AC6E03}">
    <text>temperature above which the boiler is shut down (EN14825 6.1)</text>
  </threadedComment>
  <threadedComment ref="D8" dT="2025-01-17T06:51:03.65" personId="{16A42119-1315-4B9F-83B8-606A4A5E84CC}" id="{353F39A8-480A-44B9-9B10-65D75F5BC31E}">
    <text>temperature below which the boiler is shut down (EN14825 6.1)</text>
  </threadedComment>
  <threadedComment ref="P17" dT="2025-01-10T09:23:40.33" personId="{16A42119-1315-4B9F-83B8-606A4A5E84CC}" id="{27282D04-4428-4E30-AEE3-5142097F3879}">
    <text>est la consommation d’électricité auxiliaire en kW à pleine charge</text>
  </threadedComment>
  <threadedComment ref="Q17" dT="2025-01-10T09:22:23.19" personId="{16A42119-1315-4B9F-83B8-606A4A5E84CC}" id="{6CC7A0D9-9E93-4DB3-875C-2F381CE73CA2}">
    <text>Données fiche ErP Produit (Chaudière)</text>
  </threadedComment>
  <threadedComment ref="P18" dT="2025-01-10T09:23:52.46" personId="{16A42119-1315-4B9F-83B8-606A4A5E84CC}" id="{5E92B334-CD46-4F9B-B22D-4DBF08BCC419}">
    <text>est la consommation d’électricité auxiliaire en kW à charge partielle</text>
  </threadedComment>
  <threadedComment ref="Q18" dT="2025-01-10T09:22:28.46" personId="{16A42119-1315-4B9F-83B8-606A4A5E84CC}" id="{52EC4B0F-02E9-4178-B5DC-F7989CE388A0}">
    <text>Données fiche ErP Produit (Chaudière)</text>
  </threadedComment>
  <threadedComment ref="M19" dT="2025-01-10T08:00:06.14" personId="{16A42119-1315-4B9F-83B8-606A4A5E84CC}" id="{023BB244-EFCC-4A32-8D1A-054A04850BC3}">
    <text xml:space="preserve">
Règlement 813/2013 : «coefficient de conversion» (CC), le coefficient, visé dans la directive 2012/27/UE du Parlement européen et du Conseil, qui correspond au rendement énergétique moyen de l’Union européenne, estimé à 40 %; la valeur du coefficient de conversion est CC = 2,5 </text>
  </threadedComment>
  <threadedComment ref="P19" dT="2025-01-10T09:24:08.42" personId="{16A42119-1315-4B9F-83B8-606A4A5E84CC}" id="{27754144-987A-43C8-9BE2-2AC916498780}">
    <text>consommation d’électricité auxiliaire en kW en mode veille</text>
  </threadedComment>
  <threadedComment ref="Q19" dT="2025-01-10T09:22:32.82" personId="{16A42119-1315-4B9F-83B8-606A4A5E84CC}" id="{2C6D25A9-D4AF-4E18-A227-E633C4938491}">
    <text>Données fiche ErP Produit (Chaudière)</text>
  </threadedComment>
  <threadedComment ref="P20" dT="2025-01-10T09:24:38.54" personId="{16A42119-1315-4B9F-83B8-606A4A5E84CC}" id="{44D8EBF0-4449-4477-85D8-3AB4D4C369F1}">
    <text>Pertes thermiques en régime stabilisé  kW</text>
  </threadedComment>
  <threadedComment ref="Q20" dT="2025-01-10T09:22:36.81" personId="{16A42119-1315-4B9F-83B8-606A4A5E84CC}" id="{B3D920C1-FA48-480F-AF42-07FE37DBA7A0}">
    <text>Données fiche ErP Produit (Chaudière)</text>
  </threadedComment>
  <threadedComment ref="P21" dT="2025-01-10T09:25:09.78" personId="{16A42119-1315-4B9F-83B8-606A4A5E84CC}" id="{BADC8CA2-204C-43F3-824E-C76A77815F38}">
    <text>Débit calorifique du brûleur d’allumage  kW</text>
  </threadedComment>
  <threadedComment ref="Q21" dT="2025-01-10T09:22:41.13" personId="{16A42119-1315-4B9F-83B8-606A4A5E84CC}" id="{4247CC66-92D8-4E25-9C8A-15B5EAB93068}">
    <text>Données fiche ErP Produit (Chaudière)</text>
  </threadedComment>
  <threadedComment ref="L23" dT="2025-01-17T07:42:28.51" personId="{16A42119-1315-4B9F-83B8-606A4A5E84CC}" id="{2CB62F6C-3D8A-47DD-AE00-5B8B81752E98}">
    <text>Le facteur de correction F(1) en % représente une contribution négative à l’efficacité énergétique
saisonnière pour le chauffage des locaux correspondant à l’absence de régulateurs de température. 
F(1) = 3 selon l’EN 15502-1 et le règlement 813/2013</text>
  </threadedComment>
  <threadedComment ref="M25" dT="2025-01-10T08:30:00.92" personId="{16A42119-1315-4B9F-83B8-606A4A5E84CC}" id="{406D7E8D-864C-4806-8343-FC3533396DF5}">
    <text>Données fiche ErP Produit (Chaudière)</text>
  </threadedComment>
  <threadedComment ref="C26" dT="2025-01-10T08:32:20.22" personId="{16A42119-1315-4B9F-83B8-606A4A5E84CC}" id="{F14A21B6-1942-4654-91C4-BD870B931D08}">
    <text xml:space="preserve">ErP product sheet data (heatpump) </text>
  </threadedComment>
  <threadedComment ref="M26" dT="2025-01-10T08:30:05.00" personId="{16A42119-1315-4B9F-83B8-606A4A5E84CC}" id="{E46DA710-2969-405D-A2C3-E26B59C06DE2}">
    <text>Données fiche ErP Produit (Chaudière)</text>
  </threadedComment>
  <threadedComment ref="A27" dT="2025-01-17T07:26:55.57" personId="{16A42119-1315-4B9F-83B8-606A4A5E84CC}" id="{07CA5932-3D79-4AF0-8A95-DA7492B13F62}">
    <text>consommation d’électricité en mode arrêt par thermostat</text>
  </threadedComment>
  <threadedComment ref="M27" dT="2025-01-10T08:50:21.80" personId="{16A42119-1315-4B9F-83B8-606A4A5E84CC}" id="{4B0FC84A-6455-4E2A-B813-673035338AED}">
    <text>Données fiche ErP Produit (Chaudière)</text>
  </threadedComment>
  <threadedComment ref="A28" dT="2025-01-17T07:36:15.20" personId="{16A42119-1315-4B9F-83B8-606A4A5E84CC}" id="{7A005ECD-75FB-44FA-B597-2D11BDFC788F}">
    <text>consommation d’électricité en mode veille</text>
  </threadedComment>
  <threadedComment ref="M28" dT="2025-01-10T08:50:25.55" personId="{16A42119-1315-4B9F-83B8-606A4A5E84CC}" id="{18617E50-461A-4EBA-ABB6-C53AAC1A11BA}">
    <text>Données fiche ErP Produit (Chaudière)</text>
  </threadedComment>
  <threadedComment ref="A29" dT="2025-01-17T07:27:31.43" personId="{16A42119-1315-4B9F-83B8-606A4A5E84CC}" id="{0F8B1F7E-3545-4DCA-BCCB-944E7BAEE1F0}">
    <text>consommation d’électricité en mode arrêt</text>
  </threadedComment>
  <threadedComment ref="A30" dT="2025-01-17T07:28:06.90" personId="{16A42119-1315-4B9F-83B8-606A4A5E84CC}" id="{F4FFA57A-ED93-4C4B-8F63-98C9892A98B9}">
    <text>consommation d’électricité en mode résistance de carter active</text>
  </threadedComment>
  <threadedComment ref="C32" dT="2025-01-10T08:21:00.80" personId="{16A42119-1315-4B9F-83B8-606A4A5E84CC}" id="{330A8942-125C-4B56-A1DE-AAFA38DDCEBA}">
    <text>F(2)#0 seul pour les appareils eau/eau</text>
  </threadedComment>
  <threadedComment ref="Q35" dT="2025-01-10T08:19:14.99" personId="{16A42119-1315-4B9F-83B8-606A4A5E84CC}" id="{150D7A9A-121D-4D52-8446-D67DB7085F14}">
    <text>EN 14825 8.3.4.1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U2" dT="2025-01-10T08:27:33.88" personId="{16A42119-1315-4B9F-83B8-606A4A5E84CC}" id="{DC396684-3226-4481-BB0C-104CFF77EF3B}">
    <text>Norme EN 437</text>
  </threadedComment>
  <threadedComment ref="E6" dT="2025-01-10T08:25:16.33" personId="{16A42119-1315-4B9F-83B8-606A4A5E84CC}" id="{C6D014E3-71F0-40ED-AB5A-E4A11E525071}">
    <text>Données déclarées par le fabricant (PAC hybride)</text>
  </threadedComment>
  <threadedComment ref="E7" dT="2025-01-10T08:35:03.67" personId="{16A42119-1315-4B9F-83B8-606A4A5E84CC}" id="{E3EEB523-44F9-4A11-BC97-AC5730C17875}">
    <text>Données déclarées par le fabricant (PAC hybride)</text>
  </threadedComment>
  <threadedComment ref="E8" dT="2025-01-10T08:35:15.27" personId="{16A42119-1315-4B9F-83B8-606A4A5E84CC}" id="{D94A9763-7E29-417D-B5F0-56B2C7D75666}">
    <text>Données déclarées par le fabricant (PAC hybride)</text>
  </threadedComment>
  <threadedComment ref="E14" dT="2025-01-10T08:34:14.98" personId="{16A42119-1315-4B9F-83B8-606A4A5E84CC}" id="{49C1C504-B80E-4BA2-BCC9-505AC6F41BEA}">
    <text>Données d'essais selon la méthode combinée de la norme 14825</text>
  </threadedComment>
  <threadedComment ref="F14" dT="2025-01-10T08:34:19.09" personId="{16A42119-1315-4B9F-83B8-606A4A5E84CC}" id="{DF5E594D-FCED-42E4-844A-8458BF9031FD}">
    <text>Données d'essais selon la méthode combinée de la norme 14825</text>
  </threadedComment>
  <threadedComment ref="G14" dT="2025-01-10T08:34:22.62" personId="{16A42119-1315-4B9F-83B8-606A4A5E84CC}" id="{5E0E39F3-20D6-47BD-8AEB-9D2C1A350A51}">
    <text>Données d'essais selon la méthode combinée de la norme 14825</text>
  </threadedComment>
  <threadedComment ref="J14" dT="2025-01-10T08:34:37.45" personId="{16A42119-1315-4B9F-83B8-606A4A5E84CC}" id="{6AACFC34-0E2A-4683-AA03-9030C9D861FB}">
    <text>Données d'essais selon la méthode combinée de la norme 14825</text>
  </threadedComment>
  <threadedComment ref="K14" dT="2025-01-10T08:34:40.88" personId="{16A42119-1315-4B9F-83B8-606A4A5E84CC}" id="{E437B1FD-8034-4E2F-AF63-670A89B59509}">
    <text>Données d'essais selon la méthode combinée de la norme 14825</text>
  </threadedComment>
  <threadedComment ref="C24" dT="2025-01-10T08:35:25.09" personId="{16A42119-1315-4B9F-83B8-606A4A5E84CC}" id="{7259C5B6-6453-40E0-AF6E-3D24F7C9D357}">
    <text>Données déclarées par le fabricant</text>
  </threadedComment>
  <threadedComment ref="A25" dT="2025-01-17T07:26:55.57" personId="{16A42119-1315-4B9F-83B8-606A4A5E84CC}" id="{ADFF5DA7-64F1-4797-AFB7-1FC9FC98A35B}">
    <text>consommation d’électricité en mode arrêt par thermostat</text>
  </threadedComment>
  <threadedComment ref="A26" dT="2025-01-17T07:36:15.20" personId="{16A42119-1315-4B9F-83B8-606A4A5E84CC}" id="{51C6040C-3E10-4E16-9388-E6A063CB04DA}">
    <text>consommation d’électricité en mode veille</text>
  </threadedComment>
  <threadedComment ref="A27" dT="2025-01-17T07:27:31.43" personId="{16A42119-1315-4B9F-83B8-606A4A5E84CC}" id="{2D9866D9-DFE1-461F-979C-E88C8D778D2A}">
    <text>consommation d’électricité en mode arrêt</text>
  </threadedComment>
  <threadedComment ref="A28" dT="2025-01-17T07:28:06.90" personId="{16A42119-1315-4B9F-83B8-606A4A5E84CC}" id="{8E87ED76-FEC7-482B-855B-52206AF483F6}">
    <text>consommation d’électricité en mode résistance de carter active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microsoft.com/office/2017/10/relationships/threadedComment" Target="../threadedComments/threadedComment2.xml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1:AJV77"/>
  <sheetViews>
    <sheetView showGridLines="0" tabSelected="1" zoomScale="40" zoomScaleNormal="40" workbookViewId="0">
      <selection activeCell="V34" sqref="V34"/>
    </sheetView>
  </sheetViews>
  <sheetFormatPr baseColWidth="10" defaultColWidth="11.44140625" defaultRowHeight="16.2" x14ac:dyDescent="0.25"/>
  <cols>
    <col min="1" max="1" width="29.5546875" style="1" customWidth="1"/>
    <col min="2" max="2" width="25" style="1" customWidth="1"/>
    <col min="3" max="3" width="13.88671875" style="1" customWidth="1"/>
    <col min="4" max="4" width="19.88671875" style="1" customWidth="1"/>
    <col min="5" max="5" width="17.44140625" style="1" customWidth="1"/>
    <col min="6" max="6" width="19.88671875" style="1" customWidth="1"/>
    <col min="7" max="7" width="13.109375" style="1" bestFit="1" customWidth="1"/>
    <col min="8" max="8" width="13.109375" style="1" customWidth="1"/>
    <col min="9" max="9" width="20.88671875" style="1" customWidth="1"/>
    <col min="10" max="10" width="15.109375" style="1" customWidth="1"/>
    <col min="11" max="11" width="32.6640625" style="1" customWidth="1"/>
    <col min="12" max="12" width="17" style="1" customWidth="1"/>
    <col min="13" max="14" width="14.109375" style="1" customWidth="1"/>
    <col min="15" max="15" width="14.44140625" style="1" bestFit="1" customWidth="1"/>
    <col min="16" max="16" width="14.88671875" style="1" bestFit="1" customWidth="1"/>
    <col min="17" max="17" width="13.44140625" style="1" bestFit="1" customWidth="1"/>
    <col min="18" max="18" width="19.6640625" style="1" bestFit="1" customWidth="1"/>
    <col min="19" max="19" width="14.88671875" style="1" bestFit="1" customWidth="1"/>
    <col min="20" max="20" width="18.88671875" style="1" customWidth="1"/>
    <col min="21" max="21" width="14" style="1" bestFit="1" customWidth="1"/>
    <col min="22" max="24" width="11.44140625" style="1"/>
    <col min="25" max="25" width="48.6640625" style="1" bestFit="1" customWidth="1"/>
    <col min="26" max="16384" width="11.44140625" style="1"/>
  </cols>
  <sheetData>
    <row r="1" spans="1:29" ht="18" x14ac:dyDescent="0.25">
      <c r="A1" s="94" t="s">
        <v>124</v>
      </c>
      <c r="H1" s="10"/>
      <c r="R1" s="125" t="s">
        <v>99</v>
      </c>
      <c r="S1" s="125"/>
      <c r="T1" s="125"/>
      <c r="U1" s="125"/>
      <c r="V1" s="68">
        <v>1010.72</v>
      </c>
      <c r="W1" s="8"/>
      <c r="AA1" s="51"/>
      <c r="AB1" s="51"/>
      <c r="AC1" s="51"/>
    </row>
    <row r="2" spans="1:29" ht="28.2" x14ac:dyDescent="0.7">
      <c r="A2" s="95" t="s">
        <v>125</v>
      </c>
      <c r="R2" s="126" t="s">
        <v>100</v>
      </c>
      <c r="S2" s="126"/>
      <c r="T2" s="126"/>
      <c r="U2" s="126"/>
      <c r="V2" s="69">
        <v>37.78</v>
      </c>
      <c r="W2" s="8"/>
    </row>
    <row r="3" spans="1:29" ht="20.399999999999999" customHeight="1" x14ac:dyDescent="0.25">
      <c r="A3" s="120" t="s">
        <v>40</v>
      </c>
      <c r="B3" s="120"/>
      <c r="D3" s="121" t="s">
        <v>119</v>
      </c>
      <c r="E3" s="122"/>
      <c r="F3" s="123"/>
      <c r="S3" s="25"/>
      <c r="T3" s="25"/>
      <c r="U3" s="25"/>
    </row>
    <row r="4" spans="1:29" ht="20.399999999999999" customHeight="1" x14ac:dyDescent="0.25">
      <c r="A4" s="16" t="s">
        <v>39</v>
      </c>
      <c r="B4" s="2"/>
      <c r="D4" s="16" t="s">
        <v>18</v>
      </c>
      <c r="E4" s="12" t="s">
        <v>19</v>
      </c>
      <c r="F4" s="15"/>
      <c r="S4" s="25"/>
      <c r="T4" s="25"/>
      <c r="U4" s="25"/>
    </row>
    <row r="5" spans="1:29" ht="20.399999999999999" customHeight="1" x14ac:dyDescent="0.25">
      <c r="A5" s="16" t="s">
        <v>40</v>
      </c>
      <c r="B5" s="2"/>
      <c r="D5" s="16" t="s">
        <v>25</v>
      </c>
      <c r="E5" s="13">
        <v>-10</v>
      </c>
      <c r="F5" s="15" t="s">
        <v>4</v>
      </c>
      <c r="S5" s="25"/>
      <c r="T5" s="25"/>
      <c r="U5" s="25"/>
    </row>
    <row r="6" spans="1:29" ht="20.399999999999999" customHeight="1" x14ac:dyDescent="0.25">
      <c r="A6" s="16" t="s">
        <v>35</v>
      </c>
      <c r="B6" s="2" t="s">
        <v>38</v>
      </c>
      <c r="D6" s="15" t="s">
        <v>26</v>
      </c>
      <c r="E6" s="20">
        <v>9</v>
      </c>
      <c r="F6" s="15" t="s">
        <v>49</v>
      </c>
      <c r="S6" s="25"/>
      <c r="T6" s="25"/>
      <c r="U6" s="25"/>
    </row>
    <row r="7" spans="1:29" ht="20.399999999999999" customHeight="1" x14ac:dyDescent="0.25">
      <c r="A7" s="16" t="s">
        <v>48</v>
      </c>
      <c r="B7" s="2" t="s">
        <v>41</v>
      </c>
      <c r="D7" s="15" t="s">
        <v>120</v>
      </c>
      <c r="E7" s="20">
        <v>-7</v>
      </c>
      <c r="F7" s="16" t="s">
        <v>4</v>
      </c>
      <c r="S7" s="25"/>
      <c r="T7" s="25"/>
      <c r="U7" s="25"/>
    </row>
    <row r="8" spans="1:29" ht="20.399999999999999" customHeight="1" x14ac:dyDescent="0.25">
      <c r="A8" s="16" t="s">
        <v>30</v>
      </c>
      <c r="B8" s="2" t="s">
        <v>32</v>
      </c>
      <c r="D8" s="15" t="s">
        <v>121</v>
      </c>
      <c r="E8" s="20">
        <v>-10</v>
      </c>
      <c r="F8" s="15" t="s">
        <v>4</v>
      </c>
      <c r="H8" s="121" t="s">
        <v>126</v>
      </c>
      <c r="I8" s="122"/>
      <c r="J8" s="122"/>
      <c r="K8" s="123"/>
      <c r="S8" s="25"/>
      <c r="T8" s="25"/>
      <c r="U8" s="25"/>
    </row>
    <row r="9" spans="1:29" ht="20.399999999999999" customHeight="1" x14ac:dyDescent="0.25">
      <c r="A9" s="16" t="s">
        <v>31</v>
      </c>
      <c r="B9" s="2" t="s">
        <v>33</v>
      </c>
      <c r="D9" s="16" t="s">
        <v>51</v>
      </c>
      <c r="E9" s="14">
        <v>2066</v>
      </c>
      <c r="F9" s="16" t="s">
        <v>24</v>
      </c>
      <c r="H9" s="14" t="s">
        <v>21</v>
      </c>
      <c r="I9" s="14" t="s">
        <v>22</v>
      </c>
      <c r="J9" s="27" t="s">
        <v>74</v>
      </c>
      <c r="K9" s="14" t="s">
        <v>50</v>
      </c>
    </row>
    <row r="10" spans="1:29" ht="20.399999999999999" customHeight="1" x14ac:dyDescent="0.25">
      <c r="A10" s="16" t="s">
        <v>29</v>
      </c>
      <c r="B10" s="2" t="s">
        <v>32</v>
      </c>
      <c r="D10" s="15" t="s">
        <v>52</v>
      </c>
      <c r="E10" s="5">
        <f>E6*E9</f>
        <v>18594</v>
      </c>
      <c r="F10" s="15" t="s">
        <v>16</v>
      </c>
      <c r="H10" s="58">
        <f>I63/P63</f>
        <v>3.1277423818634684</v>
      </c>
      <c r="I10" s="59">
        <f>E10/K10</f>
        <v>3.1036228395168828</v>
      </c>
      <c r="J10" s="60">
        <f>I10/M19*100-(C31+C32)</f>
        <v>121.14491358067532</v>
      </c>
      <c r="K10" s="61">
        <f>E10/H10+SUM(D27:D30)</f>
        <v>5991.0630129575875</v>
      </c>
      <c r="Q10" s="127" t="s">
        <v>130</v>
      </c>
      <c r="R10" s="127"/>
      <c r="S10" s="127"/>
      <c r="T10" s="127"/>
      <c r="U10" s="127"/>
      <c r="V10" s="97">
        <f>SUM(S37:S62)</f>
        <v>2113.2479118404517</v>
      </c>
    </row>
    <row r="11" spans="1:29" ht="20.399999999999999" customHeight="1" x14ac:dyDescent="0.25">
      <c r="A11" s="16" t="s">
        <v>36</v>
      </c>
      <c r="B11" s="2" t="s">
        <v>32</v>
      </c>
      <c r="D11" s="28"/>
      <c r="E11" s="31"/>
      <c r="F11" s="28"/>
      <c r="I11" s="6"/>
      <c r="J11" s="6"/>
      <c r="K11" s="8"/>
      <c r="Q11" s="127" t="s">
        <v>131</v>
      </c>
      <c r="R11" s="127"/>
      <c r="S11" s="127"/>
      <c r="T11" s="127"/>
      <c r="U11" s="127"/>
      <c r="V11" s="97">
        <f>SUM(T37:T62)</f>
        <v>3895.3783660643167</v>
      </c>
    </row>
    <row r="12" spans="1:29" ht="20.399999999999999" customHeight="1" x14ac:dyDescent="0.25">
      <c r="A12" s="17"/>
      <c r="B12" s="47"/>
      <c r="D12" s="28"/>
      <c r="E12" s="31"/>
      <c r="F12" s="28"/>
      <c r="I12" s="6"/>
      <c r="J12" s="6"/>
      <c r="Q12" s="128" t="s">
        <v>132</v>
      </c>
      <c r="R12" s="128"/>
      <c r="S12" s="128"/>
      <c r="T12" s="128"/>
      <c r="U12" s="128"/>
      <c r="V12" s="101">
        <f>V10+V11+D27+D28+D30+D29</f>
        <v>6054.8262779047691</v>
      </c>
    </row>
    <row r="13" spans="1:29" ht="20.399999999999999" customHeight="1" x14ac:dyDescent="0.25">
      <c r="A13" s="17"/>
      <c r="B13" s="47"/>
      <c r="D13" s="28"/>
      <c r="E13" s="31"/>
      <c r="F13" s="28"/>
      <c r="I13" s="6"/>
      <c r="J13" s="6"/>
    </row>
    <row r="14" spans="1:29" s="34" customFormat="1" ht="21" customHeight="1" x14ac:dyDescent="0.25">
      <c r="D14" s="37"/>
      <c r="E14" s="36"/>
      <c r="F14" s="35"/>
    </row>
    <row r="15" spans="1:29" ht="21" customHeight="1" x14ac:dyDescent="0.25">
      <c r="A15" s="99"/>
      <c r="B15" s="99"/>
      <c r="C15" s="99"/>
      <c r="D15" s="99"/>
      <c r="E15" s="99"/>
      <c r="F15" s="129" t="s">
        <v>127</v>
      </c>
      <c r="G15" s="130"/>
      <c r="H15" s="130"/>
      <c r="I15" s="99"/>
      <c r="J15" s="99"/>
    </row>
    <row r="16" spans="1:29" ht="63" customHeight="1" x14ac:dyDescent="0.25">
      <c r="A16" s="15" t="s">
        <v>1</v>
      </c>
      <c r="B16" s="15" t="s">
        <v>2</v>
      </c>
      <c r="C16" s="15" t="s">
        <v>47</v>
      </c>
      <c r="D16" s="15" t="s">
        <v>46</v>
      </c>
      <c r="E16" s="1" t="s">
        <v>84</v>
      </c>
      <c r="F16" s="15" t="s">
        <v>118</v>
      </c>
      <c r="G16" s="15" t="s">
        <v>56</v>
      </c>
      <c r="H16" s="15" t="s">
        <v>27</v>
      </c>
      <c r="I16" s="15" t="s">
        <v>5</v>
      </c>
      <c r="J16" s="15" t="s">
        <v>37</v>
      </c>
      <c r="L16" s="113" t="s">
        <v>128</v>
      </c>
      <c r="M16" s="114"/>
      <c r="N16" s="114"/>
      <c r="O16" s="114"/>
      <c r="P16" s="114"/>
      <c r="Q16" s="114"/>
    </row>
    <row r="17" spans="1:958" s="8" customFormat="1" ht="21" customHeight="1" x14ac:dyDescent="0.25">
      <c r="A17" s="14" t="s">
        <v>6</v>
      </c>
      <c r="B17" s="14">
        <v>-7</v>
      </c>
      <c r="C17" s="46">
        <f>(B17-16)/(E$5-16)</f>
        <v>0.88461538461538458</v>
      </c>
      <c r="D17" s="7">
        <f>C17*E$6</f>
        <v>7.9615384615384617</v>
      </c>
      <c r="F17" s="22">
        <v>5.5</v>
      </c>
      <c r="G17" s="22">
        <v>2.2200000000000002</v>
      </c>
      <c r="H17" s="22">
        <v>0.9</v>
      </c>
      <c r="I17" s="7">
        <f>IF(F17="-","-",IF(('Separated method'!D17/F17)&gt;0.9,1,'Separated method'!D17/F17))</f>
        <v>1</v>
      </c>
      <c r="J17" s="7">
        <f>IF(F17="-","-",G17*I17/(H17*I17+(1-H17)))</f>
        <v>2.2200000000000002</v>
      </c>
      <c r="K17" s="23"/>
      <c r="L17" s="41" t="s">
        <v>66</v>
      </c>
      <c r="M17" s="3">
        <f>0.85*M25+0.15*M26</f>
        <v>97.72999999999999</v>
      </c>
      <c r="N17" s="3" t="s">
        <v>67</v>
      </c>
      <c r="P17" s="4" t="s">
        <v>102</v>
      </c>
      <c r="Q17" s="20">
        <v>4.1000000000000002E-2</v>
      </c>
      <c r="AJV17" s="8">
        <v>9.5500000000000007</v>
      </c>
    </row>
    <row r="18" spans="1:958" s="8" customFormat="1" ht="21" customHeight="1" x14ac:dyDescent="0.25">
      <c r="A18" s="14" t="s">
        <v>7</v>
      </c>
      <c r="B18" s="14">
        <v>2</v>
      </c>
      <c r="C18" s="46">
        <f t="shared" ref="C18:C22" si="0">(B18-16)/(E$5-16)</f>
        <v>0.53846153846153844</v>
      </c>
      <c r="D18" s="7">
        <f t="shared" ref="D18:D22" si="1">C18*E$6</f>
        <v>4.8461538461538458</v>
      </c>
      <c r="F18" s="22">
        <v>3.4</v>
      </c>
      <c r="G18" s="22">
        <v>3.37</v>
      </c>
      <c r="H18" s="22">
        <v>0.9</v>
      </c>
      <c r="I18" s="7">
        <f>IF(F18="-","-",IF(('Separated method'!D18/F18)&gt;0.9,1,'Separated method'!D18/F18))</f>
        <v>1</v>
      </c>
      <c r="J18" s="7">
        <f t="shared" ref="J18:J22" si="2">IF(F18="-","-",G18*I18/(H18*I18+(1-H18)))</f>
        <v>3.37</v>
      </c>
      <c r="K18" s="23"/>
      <c r="L18" s="41" t="s">
        <v>90</v>
      </c>
      <c r="M18" s="3">
        <f>M17-(M20+M21+M22+M23)</f>
        <v>94.149867198085616</v>
      </c>
      <c r="N18" s="3" t="s">
        <v>67</v>
      </c>
      <c r="P18" s="4" t="s">
        <v>103</v>
      </c>
      <c r="Q18" s="20">
        <v>1.2999999999999999E-2</v>
      </c>
      <c r="AJV18" s="24">
        <v>11.17</v>
      </c>
    </row>
    <row r="19" spans="1:958" s="8" customFormat="1" ht="21" customHeight="1" x14ac:dyDescent="0.25">
      <c r="A19" s="14" t="s">
        <v>8</v>
      </c>
      <c r="B19" s="14">
        <v>7</v>
      </c>
      <c r="C19" s="46">
        <f t="shared" si="0"/>
        <v>0.34615384615384615</v>
      </c>
      <c r="D19" s="7">
        <f t="shared" si="1"/>
        <v>3.1153846153846154</v>
      </c>
      <c r="F19" s="22">
        <v>2.1</v>
      </c>
      <c r="G19" s="22">
        <v>4.07</v>
      </c>
      <c r="H19" s="22">
        <v>0.9</v>
      </c>
      <c r="I19" s="7">
        <f>IF(F19="-","-",IF(('Separated method'!D19/F19)&gt;0.9,1,'Separated method'!D19/F19))</f>
        <v>1</v>
      </c>
      <c r="J19" s="7">
        <f t="shared" si="2"/>
        <v>4.07</v>
      </c>
      <c r="K19" s="23"/>
      <c r="L19" s="41" t="s">
        <v>68</v>
      </c>
      <c r="M19" s="3">
        <v>2.5</v>
      </c>
      <c r="N19" s="3" t="s">
        <v>15</v>
      </c>
      <c r="P19" s="4" t="s">
        <v>107</v>
      </c>
      <c r="Q19" s="20">
        <v>3.0000000000000001E-3</v>
      </c>
      <c r="AJV19" s="24">
        <v>12.66</v>
      </c>
    </row>
    <row r="20" spans="1:958" ht="21" customHeight="1" x14ac:dyDescent="0.25">
      <c r="A20" s="14" t="s">
        <v>9</v>
      </c>
      <c r="B20" s="14">
        <v>12</v>
      </c>
      <c r="C20" s="46">
        <f t="shared" si="0"/>
        <v>0.15384615384615385</v>
      </c>
      <c r="D20" s="7">
        <f t="shared" si="1"/>
        <v>1.3846153846153846</v>
      </c>
      <c r="F20" s="22">
        <v>2.5</v>
      </c>
      <c r="G20" s="22">
        <v>6.58</v>
      </c>
      <c r="H20" s="22">
        <v>0.9</v>
      </c>
      <c r="I20" s="7">
        <f>IF(F20="-","-",IF(('Separated method'!D20/F20)&gt;0.9,1,'Separated method'!D20/F20))</f>
        <v>0.55384615384615388</v>
      </c>
      <c r="J20" s="7">
        <f t="shared" si="2"/>
        <v>6.0894601542416451</v>
      </c>
      <c r="K20" s="23"/>
      <c r="L20" s="41" t="s">
        <v>69</v>
      </c>
      <c r="M20" s="3">
        <f>100*M19*((0.15*Q17)+(0.85*Q18)+(1.3*Q19))/((0.85*M27)+(0.15*M28))</f>
        <v>0.50575263662511993</v>
      </c>
      <c r="N20" s="4" t="s">
        <v>67</v>
      </c>
      <c r="P20" s="4" t="s">
        <v>109</v>
      </c>
      <c r="Q20" s="19">
        <v>3.5999999999999997E-2</v>
      </c>
      <c r="AJV20" s="26">
        <v>14.3</v>
      </c>
    </row>
    <row r="21" spans="1:958" s="8" customFormat="1" ht="28.5" customHeight="1" x14ac:dyDescent="0.25">
      <c r="A21" s="14" t="s">
        <v>122</v>
      </c>
      <c r="B21" s="8">
        <f>IF(E8="","",IF(E8&lt;-10,-10,E8))</f>
        <v>-10</v>
      </c>
      <c r="C21" s="46">
        <f t="shared" si="0"/>
        <v>1</v>
      </c>
      <c r="D21" s="7">
        <f t="shared" si="1"/>
        <v>9</v>
      </c>
      <c r="F21" s="50">
        <v>5.3</v>
      </c>
      <c r="G21" s="50">
        <v>1.82</v>
      </c>
      <c r="H21" s="22">
        <v>0.9</v>
      </c>
      <c r="I21" s="7">
        <f>IF(F21="-","-",IF(('Separated method'!D21/F21)&gt;0.9,1,'Separated method'!D21/F21))</f>
        <v>1</v>
      </c>
      <c r="J21" s="7">
        <f t="shared" si="2"/>
        <v>1.82</v>
      </c>
      <c r="L21" s="41" t="s">
        <v>70</v>
      </c>
      <c r="M21" s="3">
        <f>0.5*(Q20/M28)*100</f>
        <v>7.43801652892562E-2</v>
      </c>
      <c r="N21" s="3" t="s">
        <v>67</v>
      </c>
      <c r="P21" s="3" t="s">
        <v>108</v>
      </c>
      <c r="Q21" s="4">
        <v>0</v>
      </c>
      <c r="AJV21" s="8">
        <v>9.6969230769230776</v>
      </c>
    </row>
    <row r="22" spans="1:958" s="8" customFormat="1" x14ac:dyDescent="0.25">
      <c r="A22" s="14" t="s">
        <v>123</v>
      </c>
      <c r="B22" s="4">
        <f>E7</f>
        <v>-7</v>
      </c>
      <c r="C22" s="46">
        <f t="shared" si="0"/>
        <v>0.88461538461538458</v>
      </c>
      <c r="D22" s="7">
        <f t="shared" si="1"/>
        <v>7.9615384615384617</v>
      </c>
      <c r="F22" s="22">
        <v>5.5</v>
      </c>
      <c r="G22" s="22">
        <v>2.2200000000000002</v>
      </c>
      <c r="H22" s="22">
        <v>0.9</v>
      </c>
      <c r="I22" s="7">
        <f>IF(F22="-","-",IF(('Separated method'!D22/F22)&gt;0.9,1,'Separated method'!D22/F22))</f>
        <v>1</v>
      </c>
      <c r="J22" s="7">
        <f t="shared" si="2"/>
        <v>2.2200000000000002</v>
      </c>
      <c r="K22" s="23"/>
      <c r="L22" s="41" t="s">
        <v>71</v>
      </c>
      <c r="M22" s="3">
        <f>1.3*(Q21/M28)*100</f>
        <v>0</v>
      </c>
      <c r="N22" s="3" t="s">
        <v>67</v>
      </c>
      <c r="AJV22" s="24"/>
    </row>
    <row r="23" spans="1:958" s="8" customFormat="1" ht="21" customHeight="1" x14ac:dyDescent="0.25">
      <c r="A23" s="18"/>
      <c r="B23" s="1"/>
      <c r="C23" s="48"/>
      <c r="D23" s="25"/>
      <c r="F23" s="9"/>
      <c r="G23" s="9"/>
      <c r="H23" s="9"/>
      <c r="I23" s="25"/>
      <c r="J23" s="25"/>
      <c r="K23" s="23"/>
      <c r="L23" s="41" t="s">
        <v>87</v>
      </c>
      <c r="M23" s="3">
        <v>3</v>
      </c>
      <c r="N23" s="3" t="s">
        <v>67</v>
      </c>
      <c r="AJV23" s="24"/>
    </row>
    <row r="24" spans="1:958" s="8" customFormat="1" ht="21" customHeight="1" x14ac:dyDescent="0.25">
      <c r="A24" s="18"/>
      <c r="B24" s="1"/>
      <c r="C24" s="38"/>
      <c r="D24" s="25"/>
      <c r="E24" s="9"/>
      <c r="F24" s="9"/>
      <c r="G24" s="9"/>
      <c r="H24" s="25"/>
      <c r="I24" s="25"/>
      <c r="J24" s="23"/>
      <c r="L24" s="3"/>
      <c r="M24" s="3"/>
      <c r="N24" s="3"/>
      <c r="AJV24" s="24"/>
    </row>
    <row r="25" spans="1:958" ht="21" customHeight="1" x14ac:dyDescent="0.25">
      <c r="A25" s="29" t="s">
        <v>133</v>
      </c>
      <c r="B25" s="30"/>
      <c r="C25" s="30"/>
      <c r="D25" s="30"/>
      <c r="E25" s="96"/>
      <c r="F25" s="18"/>
      <c r="G25" s="124"/>
      <c r="H25" s="124"/>
      <c r="I25" s="124"/>
      <c r="J25" s="18"/>
      <c r="L25" s="49" t="s">
        <v>91</v>
      </c>
      <c r="M25" s="20">
        <v>99.2</v>
      </c>
      <c r="N25" s="4" t="s">
        <v>67</v>
      </c>
    </row>
    <row r="26" spans="1:958" ht="40.35" customHeight="1" x14ac:dyDescent="0.25">
      <c r="A26" s="28"/>
      <c r="B26" s="15" t="s">
        <v>23</v>
      </c>
      <c r="C26" s="15" t="s">
        <v>28</v>
      </c>
      <c r="D26" s="15" t="s">
        <v>54</v>
      </c>
      <c r="E26" s="17"/>
      <c r="F26" s="28"/>
      <c r="G26" s="28"/>
      <c r="H26" s="28"/>
      <c r="I26" s="28"/>
      <c r="J26" s="17"/>
      <c r="L26" s="49" t="s">
        <v>92</v>
      </c>
      <c r="M26" s="20">
        <v>89.4</v>
      </c>
      <c r="N26" s="4" t="s">
        <v>67</v>
      </c>
    </row>
    <row r="27" spans="1:958" ht="21" customHeight="1" x14ac:dyDescent="0.25">
      <c r="A27" s="16" t="s">
        <v>115</v>
      </c>
      <c r="B27" s="14">
        <v>178</v>
      </c>
      <c r="C27" s="19">
        <v>12</v>
      </c>
      <c r="D27" s="7">
        <f>B27*C27/1000</f>
        <v>2.1360000000000001</v>
      </c>
      <c r="F27" s="17"/>
      <c r="G27" s="18"/>
      <c r="I27" s="25"/>
      <c r="L27" s="4" t="s">
        <v>104</v>
      </c>
      <c r="M27" s="20">
        <v>8</v>
      </c>
      <c r="N27" s="4" t="s">
        <v>106</v>
      </c>
    </row>
    <row r="28" spans="1:958" ht="21" customHeight="1" x14ac:dyDescent="0.25">
      <c r="A28" s="16" t="s">
        <v>116</v>
      </c>
      <c r="B28" s="14">
        <v>0</v>
      </c>
      <c r="C28" s="19">
        <v>12</v>
      </c>
      <c r="D28" s="7">
        <f>B28*C28/1000</f>
        <v>0</v>
      </c>
      <c r="E28" s="8"/>
      <c r="F28" s="17"/>
      <c r="G28" s="18"/>
      <c r="I28" s="25"/>
      <c r="L28" s="4" t="s">
        <v>105</v>
      </c>
      <c r="M28" s="20">
        <v>24.2</v>
      </c>
      <c r="N28" s="4" t="s">
        <v>106</v>
      </c>
    </row>
    <row r="29" spans="1:958" ht="21" customHeight="1" x14ac:dyDescent="0.25">
      <c r="A29" s="16" t="s">
        <v>115</v>
      </c>
      <c r="B29" s="14">
        <v>3672</v>
      </c>
      <c r="C29" s="19">
        <v>12</v>
      </c>
      <c r="D29" s="7">
        <f>B29*C29/1000</f>
        <v>44.064</v>
      </c>
      <c r="F29" s="17"/>
      <c r="G29" s="18"/>
      <c r="I29" s="25"/>
    </row>
    <row r="30" spans="1:958" s="8" customFormat="1" ht="21" customHeight="1" x14ac:dyDescent="0.25">
      <c r="A30" s="16" t="s">
        <v>117</v>
      </c>
      <c r="B30" s="14">
        <v>3850</v>
      </c>
      <c r="C30" s="19">
        <v>0</v>
      </c>
      <c r="D30" s="7">
        <f>B30*C30/1000</f>
        <v>0</v>
      </c>
      <c r="E30" s="1"/>
      <c r="F30" s="17"/>
      <c r="G30" s="18"/>
      <c r="H30" s="1"/>
      <c r="I30" s="25"/>
      <c r="L30" s="45"/>
    </row>
    <row r="31" spans="1:958" s="8" customFormat="1" ht="21" customHeight="1" x14ac:dyDescent="0.25">
      <c r="A31" s="16" t="s">
        <v>87</v>
      </c>
      <c r="B31" s="14"/>
      <c r="C31" s="4">
        <v>3</v>
      </c>
      <c r="D31" s="7"/>
      <c r="E31" s="1"/>
      <c r="F31" s="17"/>
      <c r="G31" s="18"/>
      <c r="H31" s="1"/>
      <c r="I31" s="25"/>
      <c r="L31" s="45"/>
    </row>
    <row r="32" spans="1:958" s="34" customFormat="1" ht="21" customHeight="1" x14ac:dyDescent="0.25">
      <c r="A32" s="54" t="s">
        <v>88</v>
      </c>
      <c r="B32" s="55"/>
      <c r="C32" s="55">
        <v>0</v>
      </c>
      <c r="D32" s="4"/>
    </row>
    <row r="33" spans="1:33" ht="21" customHeight="1" x14ac:dyDescent="0.25">
      <c r="A33" s="111" t="s">
        <v>59</v>
      </c>
      <c r="B33" s="112"/>
      <c r="C33" s="112"/>
      <c r="D33" s="112"/>
      <c r="E33" s="112"/>
      <c r="F33" s="112"/>
      <c r="G33" s="112"/>
      <c r="H33" s="112"/>
      <c r="I33" s="112"/>
      <c r="J33" s="112"/>
      <c r="K33" s="112"/>
      <c r="L33" s="112"/>
      <c r="M33" s="112"/>
      <c r="N33" s="112"/>
      <c r="O33" s="112"/>
      <c r="P33" s="112"/>
      <c r="Q33" s="112"/>
      <c r="R33" s="112"/>
      <c r="S33" s="112"/>
      <c r="T33" s="112"/>
    </row>
    <row r="34" spans="1:33" s="8" customFormat="1" ht="63" customHeight="1" x14ac:dyDescent="0.3">
      <c r="A34" s="118"/>
      <c r="B34" s="73" t="s">
        <v>11</v>
      </c>
      <c r="C34" s="73" t="s">
        <v>42</v>
      </c>
      <c r="D34" s="73" t="s">
        <v>13</v>
      </c>
      <c r="E34" s="73" t="s">
        <v>17</v>
      </c>
      <c r="F34" s="15" t="s">
        <v>43</v>
      </c>
      <c r="G34" s="115" t="s">
        <v>134</v>
      </c>
      <c r="H34" s="116"/>
      <c r="I34" s="15" t="s">
        <v>20</v>
      </c>
      <c r="J34" s="117" t="s">
        <v>60</v>
      </c>
      <c r="K34" s="117"/>
      <c r="L34" s="117"/>
      <c r="M34" s="117"/>
      <c r="N34" s="117"/>
      <c r="O34" s="117"/>
      <c r="P34" s="117"/>
      <c r="Q34" s="109" t="s">
        <v>135</v>
      </c>
      <c r="R34" s="110"/>
      <c r="S34" s="57"/>
      <c r="T34" s="57"/>
      <c r="W34" s="84" t="s">
        <v>75</v>
      </c>
      <c r="X34" s="84"/>
      <c r="Y34" s="84"/>
      <c r="Z34" s="84"/>
      <c r="AA34" s="84" t="s">
        <v>76</v>
      </c>
      <c r="AB34" s="84"/>
      <c r="AC34" s="84"/>
      <c r="AD34" s="85"/>
      <c r="AE34" s="85"/>
      <c r="AF34" s="85"/>
      <c r="AG34" s="85"/>
    </row>
    <row r="35" spans="1:33" s="8" customFormat="1" ht="63" customHeight="1" x14ac:dyDescent="0.3">
      <c r="A35" s="119"/>
      <c r="B35" s="73" t="s">
        <v>10</v>
      </c>
      <c r="C35" s="73" t="s">
        <v>12</v>
      </c>
      <c r="D35" s="73" t="s">
        <v>14</v>
      </c>
      <c r="E35" s="73" t="s">
        <v>57</v>
      </c>
      <c r="F35" s="73" t="s">
        <v>44</v>
      </c>
      <c r="G35" s="73" t="s">
        <v>63</v>
      </c>
      <c r="H35" s="73" t="s">
        <v>101</v>
      </c>
      <c r="I35" s="73" t="s">
        <v>45</v>
      </c>
      <c r="J35" s="76" t="s">
        <v>96</v>
      </c>
      <c r="K35" s="76" t="s">
        <v>65</v>
      </c>
      <c r="L35" s="76" t="s">
        <v>89</v>
      </c>
      <c r="M35" s="76" t="s">
        <v>85</v>
      </c>
      <c r="N35" s="76" t="s">
        <v>86</v>
      </c>
      <c r="O35" s="63" t="s">
        <v>61</v>
      </c>
      <c r="P35" s="63" t="s">
        <v>62</v>
      </c>
      <c r="Q35" s="63" t="s">
        <v>137</v>
      </c>
      <c r="R35" s="63" t="s">
        <v>138</v>
      </c>
      <c r="S35" s="63" t="s">
        <v>140</v>
      </c>
      <c r="T35" s="63" t="s">
        <v>141</v>
      </c>
      <c r="W35" s="84" t="s">
        <v>77</v>
      </c>
      <c r="X35" s="86" t="s">
        <v>78</v>
      </c>
      <c r="Y35" s="84" t="s">
        <v>79</v>
      </c>
      <c r="Z35" s="84" t="s">
        <v>80</v>
      </c>
      <c r="AA35" s="84" t="s">
        <v>80</v>
      </c>
      <c r="AB35" s="84" t="s">
        <v>93</v>
      </c>
      <c r="AC35" s="84" t="s">
        <v>81</v>
      </c>
      <c r="AD35" s="85"/>
      <c r="AE35" s="85"/>
      <c r="AF35" s="85"/>
      <c r="AG35" s="85"/>
    </row>
    <row r="36" spans="1:33" s="8" customFormat="1" ht="23.1" customHeight="1" x14ac:dyDescent="0.3">
      <c r="A36" s="73"/>
      <c r="B36" s="73" t="s">
        <v>15</v>
      </c>
      <c r="C36" s="73" t="s">
        <v>4</v>
      </c>
      <c r="D36" s="73" t="s">
        <v>15</v>
      </c>
      <c r="E36" s="73"/>
      <c r="F36" s="73"/>
      <c r="G36" s="73"/>
      <c r="H36" s="62"/>
      <c r="I36" s="73"/>
      <c r="J36" s="73"/>
      <c r="K36" s="73"/>
      <c r="L36" s="73"/>
      <c r="M36" s="63"/>
      <c r="N36" s="63"/>
      <c r="O36" s="63"/>
      <c r="P36" s="63"/>
      <c r="Q36" s="63"/>
      <c r="R36" s="63"/>
      <c r="S36" s="63"/>
      <c r="T36" s="63"/>
      <c r="W36" s="84">
        <f t="shared" ref="W36:W62" si="3">IF(A36="",0,1)</f>
        <v>0</v>
      </c>
      <c r="X36" s="84">
        <v>0</v>
      </c>
      <c r="Y36" s="84"/>
      <c r="Z36" s="84"/>
      <c r="AA36" s="84"/>
      <c r="AB36" s="84"/>
      <c r="AC36" s="84"/>
      <c r="AD36" s="85"/>
      <c r="AE36" s="85"/>
      <c r="AF36" s="85"/>
      <c r="AG36" s="85"/>
    </row>
    <row r="37" spans="1:33" s="8" customFormat="1" ht="20.100000000000001" customHeight="1" x14ac:dyDescent="0.3">
      <c r="A37" s="72" t="s">
        <v>82</v>
      </c>
      <c r="B37" s="73">
        <v>21</v>
      </c>
      <c r="C37" s="73">
        <v>-10</v>
      </c>
      <c r="D37" s="73">
        <v>1</v>
      </c>
      <c r="E37" s="62">
        <f>(C37-16)/(E$5-16)*100</f>
        <v>100</v>
      </c>
      <c r="F37" s="62">
        <f>E37*$E$6/100</f>
        <v>9</v>
      </c>
      <c r="G37" s="62">
        <f>IF($C37&lt;$E$8,0,IF($C37=$E$7,F$22,IF($C37=$E$8,F$21,IF($W37=1,$Z37,($C37-$X37)/($Y37-$X37)*($AA37-$Z37)+$Z37))))</f>
        <v>5.3</v>
      </c>
      <c r="H37" s="62">
        <f>IF($C37&lt;$E$8,"-",IF($C37=$E$7,G$22,IF($C37=$E$8,$G$21,IF($W37=1,$AB37,($C37-$X37)/($Y37-$X37)*($AC37-$AB37)+$AB37))))</f>
        <v>1.82</v>
      </c>
      <c r="I37" s="74">
        <f>D37*F37</f>
        <v>9</v>
      </c>
      <c r="J37" s="62">
        <f>IF((F37-G37)&lt;0,0,(F37-G37))</f>
        <v>3.7</v>
      </c>
      <c r="K37" s="62">
        <f>IF(H37="-",0,(F37-J37)/H37)</f>
        <v>2.912087912087912</v>
      </c>
      <c r="L37" s="62">
        <f>J37/(M$18*M$19/100)</f>
        <v>1.5719618561820907</v>
      </c>
      <c r="M37" s="62">
        <f>1+(('Separated method'!$M$21+'Separated method'!$M$20+'Separated method'!$M$22)/'Separated method'!$M$18)</f>
        <v>1.0061618015954692</v>
      </c>
      <c r="N37" s="62">
        <f>(M$17-M$23)/M$17</f>
        <v>0.96930318223677481</v>
      </c>
      <c r="O37" s="62">
        <f>K37+L37*N37</f>
        <v>4.4357955416400401</v>
      </c>
      <c r="P37" s="62">
        <f>D37*O37</f>
        <v>4.4357955416400401</v>
      </c>
      <c r="Q37" s="63">
        <f>J37*3.6*1013.25*(273.15+15)/(V$2*(V$1)*288.15)</f>
        <v>0.35345003101950895</v>
      </c>
      <c r="R37" s="63">
        <f>Q37*D37</f>
        <v>0.35345003101950895</v>
      </c>
      <c r="S37" s="63">
        <f>L37*D37</f>
        <v>1.5719618561820907</v>
      </c>
      <c r="T37" s="63">
        <f>K37*D37</f>
        <v>2.912087912087912</v>
      </c>
      <c r="W37" s="84">
        <f t="shared" si="3"/>
        <v>1</v>
      </c>
      <c r="X37" s="84">
        <f>IF(W37=0,X36,C37)</f>
        <v>-10</v>
      </c>
      <c r="Y37" s="84">
        <f t="shared" ref="Y37:Y61" si="4">IF(W37=0,Y38,C37)</f>
        <v>-10</v>
      </c>
      <c r="Z37" s="84">
        <f>VLOOKUP(X37,$B$17:$H$23,5,FALSE)</f>
        <v>5.3</v>
      </c>
      <c r="AA37" s="84">
        <f>VLOOKUP(Y37,$B$17:$H$23,5,FALSE)</f>
        <v>5.3</v>
      </c>
      <c r="AB37" s="84">
        <f>VLOOKUP(X37,$B$17:$J$23,9,FALSE)</f>
        <v>1.82</v>
      </c>
      <c r="AC37" s="84">
        <f>VLOOKUP(Y37,$B$17:$J$23,9,FALSE)</f>
        <v>1.82</v>
      </c>
      <c r="AD37" s="85"/>
      <c r="AE37" s="85"/>
      <c r="AF37" s="85"/>
      <c r="AG37" s="85"/>
    </row>
    <row r="38" spans="1:33" s="8" customFormat="1" ht="20.100000000000001" customHeight="1" x14ac:dyDescent="0.3">
      <c r="A38" s="72" t="str">
        <f>IF(OR($E$7="",$E$8=""),"",IF(AND(C38=$B$21,C38=$E$7),"E/F",IF(C38=$B$21,"E",IF(C38=$E$7,"F",""))))</f>
        <v/>
      </c>
      <c r="B38" s="73">
        <v>22</v>
      </c>
      <c r="C38" s="73">
        <v>-9</v>
      </c>
      <c r="D38" s="73">
        <v>25</v>
      </c>
      <c r="E38" s="62">
        <f>(C38-16)/(E$5-16)*100</f>
        <v>96.15384615384616</v>
      </c>
      <c r="F38" s="62">
        <f>E38*$E$6/100</f>
        <v>8.6538461538461551</v>
      </c>
      <c r="G38" s="62">
        <f t="shared" ref="G38:G62" si="5">IF($C38&lt;$E$8,0,IF($C38=$E$7,F$22,IF($C38=$E$8,F$21,IF($W38=1,$Z38,($C38-$X38)/($Y38-$X38)*($AA38-$Z38)+$Z38))))</f>
        <v>5.3666666666666663</v>
      </c>
      <c r="H38" s="62">
        <f t="shared" ref="H38:H47" si="6">IF($C38&lt;$E$8,"-",IF($C38=$E$7,G$22,IF($C38=$E$8,$G$21,IF($W38=1,$AB38,($C38-$X38)/($Y38-$X38)*($AC38-$AB38)+$AB38))))</f>
        <v>1.9533333333333334</v>
      </c>
      <c r="I38" s="74">
        <f t="shared" ref="I38:I62" si="7">D38*F38</f>
        <v>216.34615384615387</v>
      </c>
      <c r="J38" s="62">
        <f>IF((F38-G38)&lt;0,0,(F38-G38))</f>
        <v>3.2871794871794888</v>
      </c>
      <c r="K38" s="62">
        <f t="shared" ref="K38:K42" si="8">IF(H38="-",0,(F38-J38)/H38)</f>
        <v>2.7474402730375425</v>
      </c>
      <c r="L38" s="62">
        <f>J38/(M$18*M$19/100)</f>
        <v>1.3965731806136115</v>
      </c>
      <c r="M38" s="62">
        <f>1+(('Separated method'!$M$21+'Separated method'!$M$20+'Separated method'!$M$22)/'Separated method'!$M$18)</f>
        <v>1.0061618015954692</v>
      </c>
      <c r="N38" s="62">
        <f t="shared" ref="N38:N62" si="9">(M$17-M$23)/M$17</f>
        <v>0.96930318223677481</v>
      </c>
      <c r="O38" s="62">
        <f t="shared" ref="O38:O62" si="10">K38+L38*N38</f>
        <v>4.1011431012328501</v>
      </c>
      <c r="P38" s="62">
        <f>D38*O38</f>
        <v>102.52857753082125</v>
      </c>
      <c r="Q38" s="63">
        <f t="shared" ref="Q38:Q62" si="11">J38*3.6*1013.25*(273.15+15)/(V$2*(V$1)*288.15)</f>
        <v>0.31401451127304969</v>
      </c>
      <c r="R38" s="63">
        <f t="shared" ref="R38:R62" si="12">Q38*D38</f>
        <v>7.8503627818262425</v>
      </c>
      <c r="S38" s="63">
        <f t="shared" ref="S38:S62" si="13">L38*D38</f>
        <v>34.914329515340285</v>
      </c>
      <c r="T38" s="63">
        <f t="shared" ref="T38:T62" si="14">K38*D38</f>
        <v>68.686006825938563</v>
      </c>
      <c r="W38" s="84">
        <f t="shared" si="3"/>
        <v>0</v>
      </c>
      <c r="X38" s="84">
        <f t="shared" ref="X38:X59" si="15">IF(W38=0,X37,C38)</f>
        <v>-10</v>
      </c>
      <c r="Y38" s="84">
        <f t="shared" si="4"/>
        <v>-7</v>
      </c>
      <c r="Z38" s="84">
        <f t="shared" ref="Z38:Z62" si="16">VLOOKUP(X38,$B$17:$H$23,5,FALSE)</f>
        <v>5.3</v>
      </c>
      <c r="AA38" s="84">
        <f t="shared" ref="AA38:AA62" si="17">VLOOKUP(Y38,$B$17:$H$23,5,FALSE)</f>
        <v>5.5</v>
      </c>
      <c r="AB38" s="84">
        <f t="shared" ref="AB38:AB62" si="18">VLOOKUP(X38,$B$17:$J$23,9,FALSE)</f>
        <v>1.82</v>
      </c>
      <c r="AC38" s="84">
        <f t="shared" ref="AC38:AC62" si="19">VLOOKUP(Y38,$B$17:$J$23,9,FALSE)</f>
        <v>2.2200000000000002</v>
      </c>
      <c r="AD38" s="85"/>
      <c r="AE38" s="85"/>
      <c r="AF38" s="85"/>
      <c r="AG38" s="85"/>
    </row>
    <row r="39" spans="1:33" s="8" customFormat="1" ht="20.100000000000001" customHeight="1" x14ac:dyDescent="0.3">
      <c r="A39" s="72" t="str">
        <f t="shared" ref="A39:A62" si="20">IF(OR($E$7="",$E$8=""),"",IF(AND(C39=$B$21,C39=$E$7),"E/F",IF(C39=$B$21,"E",IF(C39=$E$7,"F",""))))</f>
        <v/>
      </c>
      <c r="B39" s="73">
        <v>23</v>
      </c>
      <c r="C39" s="73">
        <v>-8</v>
      </c>
      <c r="D39" s="73">
        <v>23</v>
      </c>
      <c r="E39" s="62">
        <f t="shared" ref="E39:E62" si="21">(C39-16)/(E$5-16)*100</f>
        <v>92.307692307692307</v>
      </c>
      <c r="F39" s="62">
        <f t="shared" ref="F39:F62" si="22">E39*$E$6/100</f>
        <v>8.3076923076923066</v>
      </c>
      <c r="G39" s="62">
        <f t="shared" si="5"/>
        <v>5.4333333333333336</v>
      </c>
      <c r="H39" s="62">
        <f t="shared" si="6"/>
        <v>2.0866666666666669</v>
      </c>
      <c r="I39" s="74">
        <f t="shared" si="7"/>
        <v>191.07692307692304</v>
      </c>
      <c r="J39" s="62">
        <f t="shared" ref="J39:J62" si="23">IF((F39-G39)&lt;0,0,(F39-G39))</f>
        <v>2.874358974358973</v>
      </c>
      <c r="K39" s="62">
        <f t="shared" si="8"/>
        <v>2.6038338658146962</v>
      </c>
      <c r="L39" s="62">
        <f t="shared" ref="L39:L62" si="24">J39/(M$18*M$19/100)</f>
        <v>1.2211845050451302</v>
      </c>
      <c r="M39" s="62">
        <f>1+(('Separated method'!$M$21+'Separated method'!$M$20+'Separated method'!$M$22)/'Separated method'!$M$18)</f>
        <v>1.0061618015954692</v>
      </c>
      <c r="N39" s="62">
        <f t="shared" si="9"/>
        <v>0.96930318223677481</v>
      </c>
      <c r="O39" s="62">
        <f t="shared" si="10"/>
        <v>3.787531892653182</v>
      </c>
      <c r="P39" s="62">
        <f t="shared" ref="P39:P62" si="25">D39*O39</f>
        <v>87.113233531023184</v>
      </c>
      <c r="Q39" s="63">
        <f t="shared" si="11"/>
        <v>0.27457899152659004</v>
      </c>
      <c r="R39" s="63">
        <f t="shared" si="12"/>
        <v>6.3153168051115713</v>
      </c>
      <c r="S39" s="63">
        <f t="shared" si="13"/>
        <v>28.087243616037995</v>
      </c>
      <c r="T39" s="63">
        <f t="shared" si="14"/>
        <v>59.888178913738017</v>
      </c>
      <c r="W39" s="84">
        <f t="shared" si="3"/>
        <v>0</v>
      </c>
      <c r="X39" s="84">
        <f t="shared" si="15"/>
        <v>-10</v>
      </c>
      <c r="Y39" s="84">
        <f t="shared" si="4"/>
        <v>-7</v>
      </c>
      <c r="Z39" s="84">
        <f t="shared" si="16"/>
        <v>5.3</v>
      </c>
      <c r="AA39" s="84">
        <f t="shared" si="17"/>
        <v>5.5</v>
      </c>
      <c r="AB39" s="84">
        <f t="shared" si="18"/>
        <v>1.82</v>
      </c>
      <c r="AC39" s="84">
        <f t="shared" si="19"/>
        <v>2.2200000000000002</v>
      </c>
      <c r="AD39" s="85"/>
      <c r="AE39" s="85"/>
      <c r="AF39" s="85"/>
      <c r="AG39" s="85"/>
    </row>
    <row r="40" spans="1:33" s="56" customFormat="1" ht="20.100000000000001" customHeight="1" x14ac:dyDescent="0.3">
      <c r="A40" s="72" t="str">
        <f>IF(AND(C40=$B$21,C40=$E$7,C40=-7),"A/E/F",IF(C40=$B$21,"A/E",IF(C40=$E$7,"A/F","A")))</f>
        <v>A/F</v>
      </c>
      <c r="B40" s="77">
        <v>24</v>
      </c>
      <c r="C40" s="77">
        <v>-7</v>
      </c>
      <c r="D40" s="77">
        <v>24</v>
      </c>
      <c r="E40" s="62">
        <f t="shared" si="21"/>
        <v>88.461538461538453</v>
      </c>
      <c r="F40" s="62">
        <f t="shared" si="22"/>
        <v>7.9615384615384608</v>
      </c>
      <c r="G40" s="62">
        <f t="shared" si="5"/>
        <v>5.5</v>
      </c>
      <c r="H40" s="62">
        <f t="shared" si="6"/>
        <v>2.2200000000000002</v>
      </c>
      <c r="I40" s="74">
        <f t="shared" si="7"/>
        <v>191.07692307692307</v>
      </c>
      <c r="J40" s="62">
        <f t="shared" si="23"/>
        <v>2.4615384615384608</v>
      </c>
      <c r="K40" s="62">
        <f t="shared" si="8"/>
        <v>2.477477477477477</v>
      </c>
      <c r="L40" s="62">
        <f t="shared" si="24"/>
        <v>1.0457958294766505</v>
      </c>
      <c r="M40" s="62">
        <f>1+(('Separated method'!$M$21+'Separated method'!$M$20+'Separated method'!$M$22)/'Separated method'!$M$18)</f>
        <v>1.0061618015954692</v>
      </c>
      <c r="N40" s="62">
        <f t="shared" si="9"/>
        <v>0.96930318223677481</v>
      </c>
      <c r="O40" s="62">
        <f t="shared" si="10"/>
        <v>3.4911707029591419</v>
      </c>
      <c r="P40" s="62">
        <f t="shared" si="25"/>
        <v>83.788096871019405</v>
      </c>
      <c r="Q40" s="63">
        <f t="shared" si="11"/>
        <v>0.23514347178013065</v>
      </c>
      <c r="R40" s="63">
        <f t="shared" si="12"/>
        <v>5.6434433227231358</v>
      </c>
      <c r="S40" s="63">
        <f t="shared" si="13"/>
        <v>25.099099907439612</v>
      </c>
      <c r="T40" s="63">
        <f t="shared" si="14"/>
        <v>59.459459459459453</v>
      </c>
      <c r="U40" s="8"/>
      <c r="W40" s="84">
        <f t="shared" si="3"/>
        <v>1</v>
      </c>
      <c r="X40" s="84">
        <f t="shared" si="15"/>
        <v>-7</v>
      </c>
      <c r="Y40" s="84">
        <f t="shared" si="4"/>
        <v>-7</v>
      </c>
      <c r="Z40" s="84">
        <f t="shared" si="16"/>
        <v>5.5</v>
      </c>
      <c r="AA40" s="84">
        <f t="shared" si="17"/>
        <v>5.5</v>
      </c>
      <c r="AB40" s="84">
        <f t="shared" si="18"/>
        <v>2.2200000000000002</v>
      </c>
      <c r="AC40" s="84">
        <f t="shared" si="19"/>
        <v>2.2200000000000002</v>
      </c>
      <c r="AD40" s="87"/>
      <c r="AE40" s="87"/>
      <c r="AF40" s="87"/>
      <c r="AG40" s="87"/>
    </row>
    <row r="41" spans="1:33" s="8" customFormat="1" ht="20.100000000000001" customHeight="1" x14ac:dyDescent="0.3">
      <c r="A41" s="72" t="str">
        <f>IF(OR($E$7="",$E$8=""),"",IF(AND(C41=$B$21,C41=$E$7),"E/F",IF(C41=$B$21,"E",IF(C41=$E$7,"F",""))))</f>
        <v/>
      </c>
      <c r="B41" s="73">
        <v>25</v>
      </c>
      <c r="C41" s="73">
        <v>-6</v>
      </c>
      <c r="D41" s="73">
        <v>27</v>
      </c>
      <c r="E41" s="62">
        <f t="shared" si="21"/>
        <v>84.615384615384613</v>
      </c>
      <c r="F41" s="62">
        <f t="shared" si="22"/>
        <v>7.6153846153846159</v>
      </c>
      <c r="G41" s="62">
        <f t="shared" si="5"/>
        <v>5.2666666666666666</v>
      </c>
      <c r="H41" s="62">
        <f t="shared" si="6"/>
        <v>2.347777777777778</v>
      </c>
      <c r="I41" s="74">
        <f t="shared" si="7"/>
        <v>205.61538461538464</v>
      </c>
      <c r="J41" s="62">
        <f t="shared" si="23"/>
        <v>2.3487179487179493</v>
      </c>
      <c r="K41" s="62">
        <f t="shared" si="8"/>
        <v>2.2432560340747751</v>
      </c>
      <c r="L41" s="62">
        <f t="shared" si="24"/>
        <v>0.99786352062563777</v>
      </c>
      <c r="M41" s="62">
        <f>1+(('Separated method'!$M$21+'Separated method'!$M$20+'Separated method'!$M$22)/'Separated method'!$M$18)</f>
        <v>1.0061618015954692</v>
      </c>
      <c r="N41" s="62">
        <f t="shared" si="9"/>
        <v>0.96930318223677481</v>
      </c>
      <c r="O41" s="62">
        <f t="shared" si="10"/>
        <v>3.2104883200551972</v>
      </c>
      <c r="P41" s="62">
        <f t="shared" si="25"/>
        <v>86.683184641490328</v>
      </c>
      <c r="Q41" s="63">
        <f t="shared" si="11"/>
        <v>0.22436606265687478</v>
      </c>
      <c r="R41" s="63">
        <f t="shared" si="12"/>
        <v>6.0578836917356194</v>
      </c>
      <c r="S41" s="63">
        <f t="shared" si="13"/>
        <v>26.94231505689222</v>
      </c>
      <c r="T41" s="63">
        <f t="shared" si="14"/>
        <v>60.567912920018927</v>
      </c>
      <c r="W41" s="84">
        <f t="shared" si="3"/>
        <v>0</v>
      </c>
      <c r="X41" s="84">
        <f t="shared" si="15"/>
        <v>-7</v>
      </c>
      <c r="Y41" s="84">
        <f t="shared" si="4"/>
        <v>2</v>
      </c>
      <c r="Z41" s="84">
        <f t="shared" si="16"/>
        <v>5.5</v>
      </c>
      <c r="AA41" s="84">
        <f t="shared" si="17"/>
        <v>3.4</v>
      </c>
      <c r="AB41" s="84">
        <f t="shared" si="18"/>
        <v>2.2200000000000002</v>
      </c>
      <c r="AC41" s="84">
        <f t="shared" si="19"/>
        <v>3.37</v>
      </c>
      <c r="AD41" s="85"/>
      <c r="AE41" s="85"/>
      <c r="AF41" s="85"/>
      <c r="AG41" s="85"/>
    </row>
    <row r="42" spans="1:33" s="8" customFormat="1" ht="20.100000000000001" customHeight="1" x14ac:dyDescent="0.3">
      <c r="A42" s="72" t="str">
        <f t="shared" ref="A42:A48" si="26">IF(OR($E$7="",$E$8=""),"",IF(AND(C42=$B$21,C42=$E$7),"E/F",IF(C42=$B$21,"E",IF(C42=$E$7,"F",""))))</f>
        <v/>
      </c>
      <c r="B42" s="73">
        <v>26</v>
      </c>
      <c r="C42" s="73">
        <v>-5</v>
      </c>
      <c r="D42" s="73">
        <v>68</v>
      </c>
      <c r="E42" s="62">
        <f t="shared" si="21"/>
        <v>80.769230769230774</v>
      </c>
      <c r="F42" s="62">
        <f t="shared" si="22"/>
        <v>7.2692307692307692</v>
      </c>
      <c r="G42" s="62">
        <f t="shared" si="5"/>
        <v>5.0333333333333332</v>
      </c>
      <c r="H42" s="62">
        <f t="shared" si="6"/>
        <v>2.4755555555555557</v>
      </c>
      <c r="I42" s="74">
        <f t="shared" si="7"/>
        <v>494.30769230769232</v>
      </c>
      <c r="J42" s="62">
        <f t="shared" si="23"/>
        <v>2.2358974358974359</v>
      </c>
      <c r="K42" s="62">
        <f t="shared" si="8"/>
        <v>2.0332136445242366</v>
      </c>
      <c r="L42" s="62">
        <f t="shared" si="24"/>
        <v>0.94993121177462447</v>
      </c>
      <c r="M42" s="62">
        <f>1+(('Separated method'!$M$21+'Separated method'!$M$20+'Separated method'!$M$22)/'Separated method'!$M$18)</f>
        <v>1.0061618015954692</v>
      </c>
      <c r="N42" s="62">
        <f t="shared" si="9"/>
        <v>0.96930318223677481</v>
      </c>
      <c r="O42" s="62">
        <f t="shared" si="10"/>
        <v>2.9539849910034155</v>
      </c>
      <c r="P42" s="62">
        <f t="shared" si="25"/>
        <v>200.87097938823226</v>
      </c>
      <c r="Q42" s="63">
        <f t="shared" si="11"/>
        <v>0.21358865353361872</v>
      </c>
      <c r="R42" s="63">
        <f t="shared" si="12"/>
        <v>14.524028440286074</v>
      </c>
      <c r="S42" s="63">
        <f t="shared" si="13"/>
        <v>64.595322400674462</v>
      </c>
      <c r="T42" s="63">
        <f t="shared" si="14"/>
        <v>138.25852782764809</v>
      </c>
      <c r="W42" s="84">
        <f t="shared" si="3"/>
        <v>0</v>
      </c>
      <c r="X42" s="84">
        <f t="shared" si="15"/>
        <v>-7</v>
      </c>
      <c r="Y42" s="84">
        <f t="shared" si="4"/>
        <v>2</v>
      </c>
      <c r="Z42" s="84">
        <f t="shared" si="16"/>
        <v>5.5</v>
      </c>
      <c r="AA42" s="84">
        <f t="shared" si="17"/>
        <v>3.4</v>
      </c>
      <c r="AB42" s="84">
        <f t="shared" si="18"/>
        <v>2.2200000000000002</v>
      </c>
      <c r="AC42" s="84">
        <f t="shared" si="19"/>
        <v>3.37</v>
      </c>
      <c r="AD42" s="85"/>
      <c r="AE42" s="85"/>
      <c r="AF42" s="85"/>
      <c r="AG42" s="85"/>
    </row>
    <row r="43" spans="1:33" s="8" customFormat="1" ht="20.100000000000001" customHeight="1" x14ac:dyDescent="0.3">
      <c r="A43" s="72" t="str">
        <f t="shared" si="26"/>
        <v/>
      </c>
      <c r="B43" s="73">
        <v>27</v>
      </c>
      <c r="C43" s="73">
        <v>-4</v>
      </c>
      <c r="D43" s="73">
        <v>91</v>
      </c>
      <c r="E43" s="62">
        <f t="shared" si="21"/>
        <v>76.923076923076934</v>
      </c>
      <c r="F43" s="62">
        <f t="shared" si="22"/>
        <v>6.9230769230769234</v>
      </c>
      <c r="G43" s="62">
        <f t="shared" si="5"/>
        <v>4.8</v>
      </c>
      <c r="H43" s="62">
        <f t="shared" si="6"/>
        <v>2.6033333333333335</v>
      </c>
      <c r="I43" s="74">
        <f t="shared" si="7"/>
        <v>630</v>
      </c>
      <c r="J43" s="62">
        <f t="shared" si="23"/>
        <v>2.1230769230769235</v>
      </c>
      <c r="K43" s="62">
        <f t="shared" ref="K43:K62" si="27">IF(H43="-",0,(F43-J43)/H43)</f>
        <v>1.8437900128040972</v>
      </c>
      <c r="L43" s="62">
        <f t="shared" si="24"/>
        <v>0.9019989029236114</v>
      </c>
      <c r="M43" s="62">
        <f>1+(('Separated method'!$M$21+'Separated method'!$M$20+'Separated method'!$M$22)/'Separated method'!$M$18)</f>
        <v>1.0061618015954692</v>
      </c>
      <c r="N43" s="62">
        <f t="shared" si="9"/>
        <v>0.96930318223677481</v>
      </c>
      <c r="O43" s="62">
        <f t="shared" si="10"/>
        <v>2.7181004197820333</v>
      </c>
      <c r="P43" s="62">
        <f t="shared" si="25"/>
        <v>247.34713820016503</v>
      </c>
      <c r="Q43" s="63">
        <f t="shared" si="11"/>
        <v>0.20281124441036277</v>
      </c>
      <c r="R43" s="63">
        <f t="shared" si="12"/>
        <v>18.455823241343012</v>
      </c>
      <c r="S43" s="63">
        <f t="shared" si="13"/>
        <v>82.081900166048641</v>
      </c>
      <c r="T43" s="63">
        <f t="shared" si="14"/>
        <v>167.78489116517284</v>
      </c>
      <c r="W43" s="84">
        <f t="shared" si="3"/>
        <v>0</v>
      </c>
      <c r="X43" s="84">
        <f t="shared" si="15"/>
        <v>-7</v>
      </c>
      <c r="Y43" s="84">
        <f t="shared" si="4"/>
        <v>2</v>
      </c>
      <c r="Z43" s="84">
        <f t="shared" si="16"/>
        <v>5.5</v>
      </c>
      <c r="AA43" s="84">
        <f t="shared" si="17"/>
        <v>3.4</v>
      </c>
      <c r="AB43" s="84">
        <f t="shared" si="18"/>
        <v>2.2200000000000002</v>
      </c>
      <c r="AC43" s="84">
        <f t="shared" si="19"/>
        <v>3.37</v>
      </c>
      <c r="AD43" s="85"/>
      <c r="AE43" s="85"/>
      <c r="AF43" s="85"/>
      <c r="AG43" s="85"/>
    </row>
    <row r="44" spans="1:33" s="8" customFormat="1" ht="20.100000000000001" customHeight="1" x14ac:dyDescent="0.3">
      <c r="A44" s="72" t="str">
        <f t="shared" si="26"/>
        <v/>
      </c>
      <c r="B44" s="73">
        <v>28</v>
      </c>
      <c r="C44" s="73">
        <v>-3</v>
      </c>
      <c r="D44" s="73">
        <v>89</v>
      </c>
      <c r="E44" s="62">
        <f t="shared" si="21"/>
        <v>73.076923076923066</v>
      </c>
      <c r="F44" s="62">
        <f t="shared" si="22"/>
        <v>6.5769230769230766</v>
      </c>
      <c r="G44" s="62">
        <f t="shared" si="5"/>
        <v>4.5666666666666664</v>
      </c>
      <c r="H44" s="62">
        <f t="shared" si="6"/>
        <v>2.7311111111111113</v>
      </c>
      <c r="I44" s="74">
        <f t="shared" si="7"/>
        <v>585.34615384615381</v>
      </c>
      <c r="J44" s="62">
        <f t="shared" si="23"/>
        <v>2.0102564102564102</v>
      </c>
      <c r="K44" s="62">
        <f t="shared" si="27"/>
        <v>1.6720911310008135</v>
      </c>
      <c r="L44" s="62">
        <f t="shared" si="24"/>
        <v>0.85406659407259811</v>
      </c>
      <c r="M44" s="62">
        <f>1+(('Separated method'!$M$21+'Separated method'!$M$20+'Separated method'!$M$22)/'Separated method'!$M$18)</f>
        <v>1.0061618015954692</v>
      </c>
      <c r="N44" s="62">
        <f t="shared" si="9"/>
        <v>0.96930318223677481</v>
      </c>
      <c r="O44" s="62">
        <f t="shared" si="10"/>
        <v>2.4999405984775067</v>
      </c>
      <c r="P44" s="62">
        <f t="shared" si="25"/>
        <v>222.4947132644981</v>
      </c>
      <c r="Q44" s="63">
        <f t="shared" si="11"/>
        <v>0.19203383528710674</v>
      </c>
      <c r="R44" s="63">
        <f t="shared" si="12"/>
        <v>17.091011340552502</v>
      </c>
      <c r="S44" s="63">
        <f t="shared" si="13"/>
        <v>76.011926872461231</v>
      </c>
      <c r="T44" s="63">
        <f t="shared" si="14"/>
        <v>148.81611065907239</v>
      </c>
      <c r="W44" s="84">
        <f t="shared" si="3"/>
        <v>0</v>
      </c>
      <c r="X44" s="84">
        <f t="shared" si="15"/>
        <v>-7</v>
      </c>
      <c r="Y44" s="84">
        <f t="shared" si="4"/>
        <v>2</v>
      </c>
      <c r="Z44" s="84">
        <f t="shared" si="16"/>
        <v>5.5</v>
      </c>
      <c r="AA44" s="84">
        <f t="shared" si="17"/>
        <v>3.4</v>
      </c>
      <c r="AB44" s="84">
        <f t="shared" si="18"/>
        <v>2.2200000000000002</v>
      </c>
      <c r="AC44" s="84">
        <f t="shared" si="19"/>
        <v>3.37</v>
      </c>
      <c r="AD44" s="85"/>
      <c r="AE44" s="85"/>
      <c r="AF44" s="85"/>
      <c r="AG44" s="85"/>
    </row>
    <row r="45" spans="1:33" s="8" customFormat="1" ht="20.100000000000001" customHeight="1" x14ac:dyDescent="0.3">
      <c r="A45" s="72" t="str">
        <f t="shared" si="26"/>
        <v/>
      </c>
      <c r="B45" s="73">
        <v>29</v>
      </c>
      <c r="C45" s="73">
        <v>-2</v>
      </c>
      <c r="D45" s="73">
        <v>165</v>
      </c>
      <c r="E45" s="62">
        <f t="shared" si="21"/>
        <v>69.230769230769226</v>
      </c>
      <c r="F45" s="62">
        <f t="shared" si="22"/>
        <v>6.2307692307692308</v>
      </c>
      <c r="G45" s="62">
        <f t="shared" si="5"/>
        <v>4.333333333333333</v>
      </c>
      <c r="H45" s="62">
        <f t="shared" si="6"/>
        <v>2.858888888888889</v>
      </c>
      <c r="I45" s="74">
        <f t="shared" si="7"/>
        <v>1028.0769230769231</v>
      </c>
      <c r="J45" s="62">
        <f t="shared" si="23"/>
        <v>1.8974358974358978</v>
      </c>
      <c r="K45" s="62">
        <f t="shared" si="27"/>
        <v>1.5157403808783518</v>
      </c>
      <c r="L45" s="62">
        <f t="shared" si="24"/>
        <v>0.80613428522158515</v>
      </c>
      <c r="M45" s="62">
        <f>1+(('Separated method'!$M$21+'Separated method'!$M$20+'Separated method'!$M$22)/'Separated method'!$M$18)</f>
        <v>1.0061618015954692</v>
      </c>
      <c r="N45" s="62">
        <f t="shared" si="9"/>
        <v>0.96930318223677481</v>
      </c>
      <c r="O45" s="62">
        <f t="shared" si="10"/>
        <v>2.2971289088538023</v>
      </c>
      <c r="P45" s="62">
        <f t="shared" si="25"/>
        <v>379.02626996087736</v>
      </c>
      <c r="Q45" s="63">
        <f t="shared" si="11"/>
        <v>0.18125642616385079</v>
      </c>
      <c r="R45" s="63">
        <f t="shared" si="12"/>
        <v>29.907310317035382</v>
      </c>
      <c r="S45" s="63">
        <f t="shared" si="13"/>
        <v>133.01215706156154</v>
      </c>
      <c r="T45" s="63">
        <f t="shared" si="14"/>
        <v>250.09716284492805</v>
      </c>
      <c r="W45" s="84">
        <f t="shared" si="3"/>
        <v>0</v>
      </c>
      <c r="X45" s="84">
        <f t="shared" si="15"/>
        <v>-7</v>
      </c>
      <c r="Y45" s="84">
        <f t="shared" si="4"/>
        <v>2</v>
      </c>
      <c r="Z45" s="84">
        <f t="shared" si="16"/>
        <v>5.5</v>
      </c>
      <c r="AA45" s="84">
        <f t="shared" si="17"/>
        <v>3.4</v>
      </c>
      <c r="AB45" s="84">
        <f t="shared" si="18"/>
        <v>2.2200000000000002</v>
      </c>
      <c r="AC45" s="84">
        <f t="shared" si="19"/>
        <v>3.37</v>
      </c>
      <c r="AD45" s="85"/>
      <c r="AE45" s="85"/>
      <c r="AF45" s="85"/>
      <c r="AG45" s="85"/>
    </row>
    <row r="46" spans="1:33" s="8" customFormat="1" ht="20.100000000000001" customHeight="1" x14ac:dyDescent="0.3">
      <c r="A46" s="72" t="str">
        <f t="shared" si="26"/>
        <v/>
      </c>
      <c r="B46" s="73">
        <v>30</v>
      </c>
      <c r="C46" s="73">
        <v>-1</v>
      </c>
      <c r="D46" s="73">
        <v>173</v>
      </c>
      <c r="E46" s="62">
        <f t="shared" si="21"/>
        <v>65.384615384615387</v>
      </c>
      <c r="F46" s="62">
        <f t="shared" si="22"/>
        <v>5.8846153846153841</v>
      </c>
      <c r="G46" s="62">
        <f t="shared" si="5"/>
        <v>4.0999999999999996</v>
      </c>
      <c r="H46" s="62">
        <f t="shared" si="6"/>
        <v>2.9866666666666668</v>
      </c>
      <c r="I46" s="74">
        <f t="shared" si="7"/>
        <v>1018.0384615384614</v>
      </c>
      <c r="J46" s="62">
        <f t="shared" si="23"/>
        <v>1.7846153846153845</v>
      </c>
      <c r="K46" s="62">
        <f t="shared" si="27"/>
        <v>1.372767857142857</v>
      </c>
      <c r="L46" s="62">
        <f t="shared" si="24"/>
        <v>0.75820197637057174</v>
      </c>
      <c r="M46" s="62">
        <f>1+(('Separated method'!$M$21+'Separated method'!$M$20+'Separated method'!$M$22)/'Separated method'!$M$18)</f>
        <v>1.0061618015954692</v>
      </c>
      <c r="N46" s="62">
        <f t="shared" si="9"/>
        <v>0.96930318223677481</v>
      </c>
      <c r="O46" s="62">
        <f t="shared" si="10"/>
        <v>2.1076954456170642</v>
      </c>
      <c r="P46" s="62">
        <f t="shared" si="25"/>
        <v>364.63131209175214</v>
      </c>
      <c r="Q46" s="63">
        <f t="shared" si="11"/>
        <v>0.17047901704059473</v>
      </c>
      <c r="R46" s="63">
        <f>Q46*D46</f>
        <v>29.492869948022889</v>
      </c>
      <c r="S46" s="63">
        <f t="shared" si="13"/>
        <v>131.16894191210892</v>
      </c>
      <c r="T46" s="63">
        <f t="shared" si="14"/>
        <v>237.48883928571425</v>
      </c>
      <c r="W46" s="84">
        <f t="shared" si="3"/>
        <v>0</v>
      </c>
      <c r="X46" s="84">
        <f t="shared" si="15"/>
        <v>-7</v>
      </c>
      <c r="Y46" s="84">
        <f t="shared" si="4"/>
        <v>2</v>
      </c>
      <c r="Z46" s="84">
        <f t="shared" si="16"/>
        <v>5.5</v>
      </c>
      <c r="AA46" s="84">
        <f t="shared" si="17"/>
        <v>3.4</v>
      </c>
      <c r="AB46" s="84">
        <f t="shared" si="18"/>
        <v>2.2200000000000002</v>
      </c>
      <c r="AC46" s="84">
        <f t="shared" si="19"/>
        <v>3.37</v>
      </c>
      <c r="AD46" s="85"/>
      <c r="AE46" s="85"/>
      <c r="AF46" s="85"/>
      <c r="AG46" s="85"/>
    </row>
    <row r="47" spans="1:33" s="8" customFormat="1" ht="20.100000000000001" customHeight="1" x14ac:dyDescent="0.3">
      <c r="A47" s="72" t="str">
        <f t="shared" si="26"/>
        <v/>
      </c>
      <c r="B47" s="73">
        <v>31</v>
      </c>
      <c r="C47" s="73">
        <v>0</v>
      </c>
      <c r="D47" s="73">
        <v>240</v>
      </c>
      <c r="E47" s="62">
        <f t="shared" si="21"/>
        <v>61.53846153846154</v>
      </c>
      <c r="F47" s="62">
        <f t="shared" si="22"/>
        <v>5.5384615384615383</v>
      </c>
      <c r="G47" s="62">
        <f t="shared" si="5"/>
        <v>3.8666666666666663</v>
      </c>
      <c r="H47" s="62">
        <f t="shared" si="6"/>
        <v>3.1144444444444446</v>
      </c>
      <c r="I47" s="74">
        <f t="shared" si="7"/>
        <v>1329.2307692307693</v>
      </c>
      <c r="J47" s="62">
        <f t="shared" si="23"/>
        <v>1.6717948717948721</v>
      </c>
      <c r="K47" s="62">
        <f t="shared" si="27"/>
        <v>1.2415269354263287</v>
      </c>
      <c r="L47" s="62">
        <f t="shared" si="24"/>
        <v>0.71026966751955878</v>
      </c>
      <c r="M47" s="62">
        <f>1+(('Separated method'!$M$21+'Separated method'!$M$20+'Separated method'!$M$22)/'Separated method'!$M$18)</f>
        <v>1.0061618015954692</v>
      </c>
      <c r="N47" s="62">
        <f t="shared" si="9"/>
        <v>0.96930318223677481</v>
      </c>
      <c r="O47" s="62">
        <f t="shared" si="10"/>
        <v>1.929993584399293</v>
      </c>
      <c r="P47" s="62">
        <f t="shared" si="25"/>
        <v>463.19846025583035</v>
      </c>
      <c r="Q47" s="63">
        <f t="shared" si="11"/>
        <v>0.15970160791733878</v>
      </c>
      <c r="R47" s="63">
        <f t="shared" si="12"/>
        <v>38.328385900161308</v>
      </c>
      <c r="S47" s="63">
        <f t="shared" si="13"/>
        <v>170.46472020469412</v>
      </c>
      <c r="T47" s="63">
        <f t="shared" si="14"/>
        <v>297.9664645023189</v>
      </c>
      <c r="W47" s="84">
        <f t="shared" si="3"/>
        <v>0</v>
      </c>
      <c r="X47" s="84">
        <f t="shared" si="15"/>
        <v>-7</v>
      </c>
      <c r="Y47" s="84">
        <f t="shared" si="4"/>
        <v>2</v>
      </c>
      <c r="Z47" s="84">
        <f t="shared" si="16"/>
        <v>5.5</v>
      </c>
      <c r="AA47" s="84">
        <f t="shared" si="17"/>
        <v>3.4</v>
      </c>
      <c r="AB47" s="84">
        <f t="shared" si="18"/>
        <v>2.2200000000000002</v>
      </c>
      <c r="AC47" s="84">
        <f t="shared" si="19"/>
        <v>3.37</v>
      </c>
      <c r="AD47" s="85"/>
      <c r="AE47" s="85"/>
      <c r="AF47" s="85"/>
      <c r="AG47" s="85"/>
    </row>
    <row r="48" spans="1:33" s="8" customFormat="1" ht="20.100000000000001" customHeight="1" x14ac:dyDescent="0.3">
      <c r="A48" s="72" t="str">
        <f t="shared" si="26"/>
        <v/>
      </c>
      <c r="B48" s="73">
        <v>32</v>
      </c>
      <c r="C48" s="73">
        <v>1</v>
      </c>
      <c r="D48" s="73">
        <v>280</v>
      </c>
      <c r="E48" s="62">
        <f t="shared" si="21"/>
        <v>57.692307692307686</v>
      </c>
      <c r="F48" s="62">
        <f t="shared" si="22"/>
        <v>5.1923076923076916</v>
      </c>
      <c r="G48" s="62">
        <f t="shared" si="5"/>
        <v>3.6333333333333333</v>
      </c>
      <c r="H48" s="62">
        <f>IF($C48&lt;$E$8,"-",IF($C48=$E$7,G$22,IF($C48=$E$8,$G$21,IF($W48=1,$AB48,($C48-$X48)/($Y48-$X48)*($AC48-$AB48)+$AB48))))</f>
        <v>3.2422222222222223</v>
      </c>
      <c r="I48" s="74">
        <f t="shared" si="7"/>
        <v>1453.8461538461536</v>
      </c>
      <c r="J48" s="62">
        <f t="shared" si="23"/>
        <v>1.5589743589743583</v>
      </c>
      <c r="K48" s="62">
        <f t="shared" si="27"/>
        <v>1.1206305688827964</v>
      </c>
      <c r="L48" s="62">
        <f t="shared" si="24"/>
        <v>0.66233735866854515</v>
      </c>
      <c r="M48" s="62">
        <f>1+(('Separated method'!$M$21+'Separated method'!$M$20+'Separated method'!$M$22)/'Separated method'!$M$18)</f>
        <v>1.0061618015954692</v>
      </c>
      <c r="N48" s="62">
        <f t="shared" si="9"/>
        <v>0.96930318223677481</v>
      </c>
      <c r="O48" s="62">
        <f t="shared" si="10"/>
        <v>1.7626362783545173</v>
      </c>
      <c r="P48" s="62">
        <f t="shared" si="25"/>
        <v>493.53815793926486</v>
      </c>
      <c r="Q48" s="63">
        <f t="shared" si="11"/>
        <v>0.1489241987940827</v>
      </c>
      <c r="R48" s="63">
        <f t="shared" si="12"/>
        <v>41.698775662343152</v>
      </c>
      <c r="S48" s="63">
        <f t="shared" si="13"/>
        <v>185.45446042719263</v>
      </c>
      <c r="T48" s="63">
        <f t="shared" si="14"/>
        <v>313.77655928718298</v>
      </c>
      <c r="W48" s="84">
        <f t="shared" si="3"/>
        <v>0</v>
      </c>
      <c r="X48" s="84">
        <f t="shared" si="15"/>
        <v>-7</v>
      </c>
      <c r="Y48" s="84">
        <f t="shared" si="4"/>
        <v>2</v>
      </c>
      <c r="Z48" s="84">
        <f t="shared" si="16"/>
        <v>5.5</v>
      </c>
      <c r="AA48" s="84">
        <f t="shared" si="17"/>
        <v>3.4</v>
      </c>
      <c r="AB48" s="84">
        <f t="shared" si="18"/>
        <v>2.2200000000000002</v>
      </c>
      <c r="AC48" s="84">
        <f t="shared" si="19"/>
        <v>3.37</v>
      </c>
      <c r="AD48" s="85"/>
      <c r="AE48" s="85"/>
      <c r="AF48" s="85"/>
      <c r="AG48" s="85"/>
    </row>
    <row r="49" spans="1:33" s="56" customFormat="1" ht="20.100000000000001" customHeight="1" x14ac:dyDescent="0.3">
      <c r="A49" s="72" t="str">
        <f>IF(AND(C49=$B$21,C49=$E$7,C49=2),"B/E/F",IF(C49=$B$21,"B/E",IF(C49=$E$7,"B/F","B")))</f>
        <v>B</v>
      </c>
      <c r="B49" s="77">
        <v>33</v>
      </c>
      <c r="C49" s="77">
        <v>2</v>
      </c>
      <c r="D49" s="77">
        <v>320</v>
      </c>
      <c r="E49" s="62">
        <f t="shared" si="21"/>
        <v>53.846153846153847</v>
      </c>
      <c r="F49" s="62">
        <f t="shared" si="22"/>
        <v>4.8461538461538467</v>
      </c>
      <c r="G49" s="62">
        <f t="shared" si="5"/>
        <v>3.4</v>
      </c>
      <c r="H49" s="62">
        <f t="shared" ref="H49:H62" si="28">IF($C49&lt;$E$8,0,IF($C49=$E$7,G$22,IF($C49=$E$8,$G$21,IF($W49=1,$AB49,($C49-$X49)/($Y49-$X49)*($AC49-$AB49)+$AB49))))</f>
        <v>3.37</v>
      </c>
      <c r="I49" s="74">
        <f t="shared" si="7"/>
        <v>1550.7692307692309</v>
      </c>
      <c r="J49" s="62">
        <f t="shared" si="23"/>
        <v>1.4461538461538468</v>
      </c>
      <c r="K49" s="62">
        <f t="shared" si="27"/>
        <v>1.0089020771513353</v>
      </c>
      <c r="L49" s="62">
        <f t="shared" si="24"/>
        <v>0.61440504981753263</v>
      </c>
      <c r="M49" s="62">
        <f>1+(('Separated method'!$M$21+'Separated method'!$M$20+'Separated method'!$M$22)/'Separated method'!$M$18)</f>
        <v>1.0061618015954692</v>
      </c>
      <c r="N49" s="62">
        <f t="shared" si="9"/>
        <v>0.96930318223677481</v>
      </c>
      <c r="O49" s="62">
        <f t="shared" si="10"/>
        <v>1.6044468471218138</v>
      </c>
      <c r="P49" s="62">
        <f t="shared" si="25"/>
        <v>513.42299107898043</v>
      </c>
      <c r="Q49" s="63">
        <f t="shared" si="11"/>
        <v>0.13814678967082686</v>
      </c>
      <c r="R49" s="63">
        <f t="shared" si="12"/>
        <v>44.206972694664593</v>
      </c>
      <c r="S49" s="63">
        <f t="shared" si="13"/>
        <v>196.60961594161046</v>
      </c>
      <c r="T49" s="63">
        <f t="shared" si="14"/>
        <v>322.84866468842728</v>
      </c>
      <c r="U49" s="8"/>
      <c r="W49" s="84">
        <f t="shared" si="3"/>
        <v>1</v>
      </c>
      <c r="X49" s="84">
        <f t="shared" si="15"/>
        <v>2</v>
      </c>
      <c r="Y49" s="84">
        <f t="shared" si="4"/>
        <v>2</v>
      </c>
      <c r="Z49" s="84">
        <f t="shared" si="16"/>
        <v>3.4</v>
      </c>
      <c r="AA49" s="84">
        <f t="shared" si="17"/>
        <v>3.4</v>
      </c>
      <c r="AB49" s="84">
        <f t="shared" si="18"/>
        <v>3.37</v>
      </c>
      <c r="AC49" s="84">
        <f t="shared" si="19"/>
        <v>3.37</v>
      </c>
      <c r="AD49" s="87"/>
      <c r="AE49" s="87"/>
      <c r="AF49" s="87"/>
      <c r="AG49" s="87"/>
    </row>
    <row r="50" spans="1:33" s="8" customFormat="1" ht="20.100000000000001" customHeight="1" x14ac:dyDescent="0.3">
      <c r="A50" s="72"/>
      <c r="B50" s="73">
        <v>34</v>
      </c>
      <c r="C50" s="73">
        <v>3</v>
      </c>
      <c r="D50" s="73">
        <v>357</v>
      </c>
      <c r="E50" s="62">
        <f t="shared" si="21"/>
        <v>50</v>
      </c>
      <c r="F50" s="62">
        <f t="shared" si="22"/>
        <v>4.5</v>
      </c>
      <c r="G50" s="62">
        <f t="shared" si="5"/>
        <v>3.14</v>
      </c>
      <c r="H50" s="62">
        <f t="shared" si="28"/>
        <v>3.5100000000000002</v>
      </c>
      <c r="I50" s="74">
        <f t="shared" si="7"/>
        <v>1606.5</v>
      </c>
      <c r="J50" s="62">
        <f t="shared" si="23"/>
        <v>1.3599999999999999</v>
      </c>
      <c r="K50" s="62">
        <f t="shared" si="27"/>
        <v>0.89458689458689455</v>
      </c>
      <c r="L50" s="62">
        <f t="shared" si="24"/>
        <v>0.57780219578584946</v>
      </c>
      <c r="M50" s="62">
        <f>1+(('Separated method'!$M$21+'Separated method'!$M$20+'Separated method'!$M$22)/'Separated method'!$M$18)</f>
        <v>1.0061618015954692</v>
      </c>
      <c r="N50" s="62">
        <f t="shared" si="9"/>
        <v>0.96930318223677481</v>
      </c>
      <c r="O50" s="62">
        <f t="shared" si="10"/>
        <v>1.4546524016655145</v>
      </c>
      <c r="P50" s="62">
        <f t="shared" si="25"/>
        <v>519.31090739458864</v>
      </c>
      <c r="Q50" s="63">
        <f t="shared" si="11"/>
        <v>0.12991676815852221</v>
      </c>
      <c r="R50" s="63">
        <f t="shared" si="12"/>
        <v>46.380286232592432</v>
      </c>
      <c r="S50" s="63">
        <f t="shared" si="13"/>
        <v>206.27538389554826</v>
      </c>
      <c r="T50" s="63">
        <f t="shared" si="14"/>
        <v>319.36752136752136</v>
      </c>
      <c r="W50" s="84">
        <f t="shared" si="3"/>
        <v>0</v>
      </c>
      <c r="X50" s="84">
        <f t="shared" si="15"/>
        <v>2</v>
      </c>
      <c r="Y50" s="84">
        <f t="shared" si="4"/>
        <v>7</v>
      </c>
      <c r="Z50" s="84">
        <f t="shared" si="16"/>
        <v>3.4</v>
      </c>
      <c r="AA50" s="84">
        <f t="shared" si="17"/>
        <v>2.1</v>
      </c>
      <c r="AB50" s="84">
        <f t="shared" si="18"/>
        <v>3.37</v>
      </c>
      <c r="AC50" s="84">
        <f t="shared" si="19"/>
        <v>4.07</v>
      </c>
      <c r="AD50" s="85"/>
      <c r="AE50" s="85"/>
      <c r="AF50" s="85"/>
      <c r="AG50" s="85"/>
    </row>
    <row r="51" spans="1:33" s="8" customFormat="1" ht="20.100000000000001" customHeight="1" x14ac:dyDescent="0.3">
      <c r="A51" s="72"/>
      <c r="B51" s="73">
        <v>35</v>
      </c>
      <c r="C51" s="73">
        <v>4</v>
      </c>
      <c r="D51" s="73">
        <v>356</v>
      </c>
      <c r="E51" s="62">
        <f t="shared" si="21"/>
        <v>46.153846153846153</v>
      </c>
      <c r="F51" s="62">
        <f t="shared" si="22"/>
        <v>4.1538461538461533</v>
      </c>
      <c r="G51" s="62">
        <f t="shared" si="5"/>
        <v>2.88</v>
      </c>
      <c r="H51" s="62">
        <f t="shared" si="28"/>
        <v>3.6500000000000004</v>
      </c>
      <c r="I51" s="74">
        <f t="shared" si="7"/>
        <v>1478.7692307692305</v>
      </c>
      <c r="J51" s="62">
        <f t="shared" si="23"/>
        <v>1.2738461538461534</v>
      </c>
      <c r="K51" s="62">
        <f t="shared" si="27"/>
        <v>0.78904109589041083</v>
      </c>
      <c r="L51" s="62">
        <f t="shared" si="24"/>
        <v>0.54119934175416662</v>
      </c>
      <c r="M51" s="62">
        <f>1+(('Separated method'!$M$21+'Separated method'!$M$20+'Separated method'!$M$22)/'Separated method'!$M$18)</f>
        <v>1.0061618015954692</v>
      </c>
      <c r="N51" s="62">
        <f t="shared" si="9"/>
        <v>0.96930318223677481</v>
      </c>
      <c r="O51" s="62">
        <f t="shared" si="10"/>
        <v>1.3136273400771725</v>
      </c>
      <c r="P51" s="62">
        <f t="shared" si="25"/>
        <v>467.65133306747344</v>
      </c>
      <c r="Q51" s="63">
        <f t="shared" si="11"/>
        <v>0.12168674664621761</v>
      </c>
      <c r="R51" s="63">
        <f t="shared" si="12"/>
        <v>43.320481806053465</v>
      </c>
      <c r="S51" s="63">
        <f t="shared" si="13"/>
        <v>192.66696566448331</v>
      </c>
      <c r="T51" s="63">
        <f t="shared" si="14"/>
        <v>280.89863013698624</v>
      </c>
      <c r="W51" s="84">
        <f t="shared" si="3"/>
        <v>0</v>
      </c>
      <c r="X51" s="84">
        <f t="shared" si="15"/>
        <v>2</v>
      </c>
      <c r="Y51" s="84">
        <f t="shared" si="4"/>
        <v>7</v>
      </c>
      <c r="Z51" s="84">
        <f t="shared" si="16"/>
        <v>3.4</v>
      </c>
      <c r="AA51" s="84">
        <f t="shared" si="17"/>
        <v>2.1</v>
      </c>
      <c r="AB51" s="84">
        <f t="shared" si="18"/>
        <v>3.37</v>
      </c>
      <c r="AC51" s="84">
        <f t="shared" si="19"/>
        <v>4.07</v>
      </c>
      <c r="AD51" s="85"/>
      <c r="AE51" s="85"/>
      <c r="AF51" s="85"/>
      <c r="AG51" s="85"/>
    </row>
    <row r="52" spans="1:33" ht="20.100000000000001" customHeight="1" x14ac:dyDescent="0.3">
      <c r="A52" s="72"/>
      <c r="B52" s="73">
        <v>36</v>
      </c>
      <c r="C52" s="73">
        <v>5</v>
      </c>
      <c r="D52" s="75">
        <v>303</v>
      </c>
      <c r="E52" s="62">
        <f t="shared" si="21"/>
        <v>42.307692307692307</v>
      </c>
      <c r="F52" s="62">
        <f t="shared" si="22"/>
        <v>3.8076923076923079</v>
      </c>
      <c r="G52" s="62">
        <f t="shared" si="5"/>
        <v>2.62</v>
      </c>
      <c r="H52" s="62">
        <f t="shared" si="28"/>
        <v>3.79</v>
      </c>
      <c r="I52" s="74">
        <f t="shared" si="7"/>
        <v>1153.7307692307693</v>
      </c>
      <c r="J52" s="62">
        <f t="shared" si="23"/>
        <v>1.1876923076923078</v>
      </c>
      <c r="K52" s="62">
        <f t="shared" si="27"/>
        <v>0.69129287598944589</v>
      </c>
      <c r="L52" s="62">
        <f t="shared" si="24"/>
        <v>0.504596487722484</v>
      </c>
      <c r="M52" s="62">
        <f>1+(('Separated method'!$M$21+'Separated method'!$M$20+'Separated method'!$M$22)/'Separated method'!$M$18)</f>
        <v>1.0061618015954692</v>
      </c>
      <c r="N52" s="62">
        <f t="shared" si="9"/>
        <v>0.96930318223677481</v>
      </c>
      <c r="O52" s="62">
        <f t="shared" si="10"/>
        <v>1.1803998572843493</v>
      </c>
      <c r="P52" s="62">
        <f t="shared" si="25"/>
        <v>357.66115675715781</v>
      </c>
      <c r="Q52" s="63">
        <f t="shared" si="11"/>
        <v>0.11345672513391307</v>
      </c>
      <c r="R52" s="63">
        <f t="shared" si="12"/>
        <v>34.377387715575658</v>
      </c>
      <c r="S52" s="63">
        <f t="shared" si="13"/>
        <v>152.89273577991264</v>
      </c>
      <c r="T52" s="63">
        <f t="shared" si="14"/>
        <v>209.46174142480211</v>
      </c>
      <c r="U52" s="8"/>
      <c r="W52" s="84">
        <f t="shared" si="3"/>
        <v>0</v>
      </c>
      <c r="X52" s="84">
        <f t="shared" si="15"/>
        <v>2</v>
      </c>
      <c r="Y52" s="84">
        <f t="shared" si="4"/>
        <v>7</v>
      </c>
      <c r="Z52" s="84">
        <f t="shared" si="16"/>
        <v>3.4</v>
      </c>
      <c r="AA52" s="84">
        <f t="shared" si="17"/>
        <v>2.1</v>
      </c>
      <c r="AB52" s="84">
        <f t="shared" si="18"/>
        <v>3.37</v>
      </c>
      <c r="AC52" s="84">
        <f t="shared" si="19"/>
        <v>4.07</v>
      </c>
      <c r="AD52" s="88"/>
      <c r="AE52" s="88"/>
      <c r="AF52" s="88"/>
      <c r="AG52" s="88"/>
    </row>
    <row r="53" spans="1:33" ht="20.100000000000001" customHeight="1" x14ac:dyDescent="0.3">
      <c r="A53" s="72"/>
      <c r="B53" s="73">
        <v>37</v>
      </c>
      <c r="C53" s="73">
        <v>6</v>
      </c>
      <c r="D53" s="75">
        <v>330</v>
      </c>
      <c r="E53" s="62">
        <f t="shared" si="21"/>
        <v>38.461538461538467</v>
      </c>
      <c r="F53" s="62">
        <f t="shared" si="22"/>
        <v>3.4615384615384617</v>
      </c>
      <c r="G53" s="62">
        <f t="shared" si="5"/>
        <v>2.3600000000000003</v>
      </c>
      <c r="H53" s="62">
        <f t="shared" si="28"/>
        <v>3.93</v>
      </c>
      <c r="I53" s="74">
        <f t="shared" si="7"/>
        <v>1142.3076923076924</v>
      </c>
      <c r="J53" s="62">
        <f t="shared" si="23"/>
        <v>1.1015384615384614</v>
      </c>
      <c r="K53" s="62">
        <f t="shared" si="27"/>
        <v>0.60050890585241734</v>
      </c>
      <c r="L53" s="62">
        <f t="shared" si="24"/>
        <v>0.4679936336908011</v>
      </c>
      <c r="M53" s="62">
        <f>1+(('Separated method'!$M$21+'Separated method'!$M$20+'Separated method'!$M$22)/'Separated method'!$M$18)</f>
        <v>1.0061618015954692</v>
      </c>
      <c r="N53" s="62">
        <f t="shared" si="9"/>
        <v>0.96930318223677481</v>
      </c>
      <c r="O53" s="62">
        <f t="shared" si="10"/>
        <v>1.0541366242554624</v>
      </c>
      <c r="P53" s="62">
        <f t="shared" si="25"/>
        <v>347.86508600430261</v>
      </c>
      <c r="Q53" s="63">
        <f t="shared" si="11"/>
        <v>0.10522670362160848</v>
      </c>
      <c r="R53" s="63">
        <f t="shared" si="12"/>
        <v>34.724812195130795</v>
      </c>
      <c r="S53" s="63">
        <f t="shared" si="13"/>
        <v>154.43789911796438</v>
      </c>
      <c r="T53" s="63">
        <f t="shared" si="14"/>
        <v>198.16793893129773</v>
      </c>
      <c r="U53" s="8"/>
      <c r="W53" s="84">
        <f t="shared" si="3"/>
        <v>0</v>
      </c>
      <c r="X53" s="84">
        <f t="shared" si="15"/>
        <v>2</v>
      </c>
      <c r="Y53" s="84">
        <f t="shared" si="4"/>
        <v>7</v>
      </c>
      <c r="Z53" s="84">
        <f t="shared" si="16"/>
        <v>3.4</v>
      </c>
      <c r="AA53" s="84">
        <f t="shared" si="17"/>
        <v>2.1</v>
      </c>
      <c r="AB53" s="84">
        <f t="shared" si="18"/>
        <v>3.37</v>
      </c>
      <c r="AC53" s="84">
        <f t="shared" si="19"/>
        <v>4.07</v>
      </c>
      <c r="AD53" s="88"/>
      <c r="AE53" s="88"/>
      <c r="AF53" s="88"/>
      <c r="AG53" s="88"/>
    </row>
    <row r="54" spans="1:33" s="40" customFormat="1" ht="20.100000000000001" customHeight="1" x14ac:dyDescent="0.3">
      <c r="A54" s="72" t="s">
        <v>8</v>
      </c>
      <c r="B54" s="77">
        <v>38</v>
      </c>
      <c r="C54" s="77">
        <v>7</v>
      </c>
      <c r="D54" s="78">
        <v>326</v>
      </c>
      <c r="E54" s="62">
        <f t="shared" si="21"/>
        <v>34.615384615384613</v>
      </c>
      <c r="F54" s="62">
        <f t="shared" si="22"/>
        <v>3.1153846153846154</v>
      </c>
      <c r="G54" s="62">
        <f t="shared" si="5"/>
        <v>2.1</v>
      </c>
      <c r="H54" s="62">
        <f t="shared" si="28"/>
        <v>4.07</v>
      </c>
      <c r="I54" s="74">
        <f t="shared" si="7"/>
        <v>1015.6153846153846</v>
      </c>
      <c r="J54" s="62">
        <f t="shared" si="23"/>
        <v>1.0153846153846153</v>
      </c>
      <c r="K54" s="62">
        <f>IF(H54="-",0,(F54-J54)/H54)</f>
        <v>0.51597051597051591</v>
      </c>
      <c r="L54" s="62">
        <f t="shared" si="24"/>
        <v>0.43139077965911843</v>
      </c>
      <c r="M54" s="62">
        <f>1+(('Separated method'!$M$21+'Separated method'!$M$20+'Separated method'!$M$22)/'Separated method'!$M$18)</f>
        <v>1.0061618015954692</v>
      </c>
      <c r="N54" s="62">
        <f t="shared" si="9"/>
        <v>0.96930318223677481</v>
      </c>
      <c r="O54" s="62">
        <f t="shared" si="10"/>
        <v>0.93411897148170275</v>
      </c>
      <c r="P54" s="62">
        <f t="shared" si="25"/>
        <v>304.52278470303509</v>
      </c>
      <c r="Q54" s="63">
        <f t="shared" si="11"/>
        <v>9.6996682109303914E-2</v>
      </c>
      <c r="R54" s="63">
        <f t="shared" si="12"/>
        <v>31.620918367633077</v>
      </c>
      <c r="S54" s="63">
        <f t="shared" si="13"/>
        <v>140.6333941688726</v>
      </c>
      <c r="T54" s="63">
        <f t="shared" si="14"/>
        <v>168.2063882063882</v>
      </c>
      <c r="U54" s="8"/>
      <c r="W54" s="84">
        <f t="shared" si="3"/>
        <v>1</v>
      </c>
      <c r="X54" s="84">
        <f t="shared" si="15"/>
        <v>7</v>
      </c>
      <c r="Y54" s="84">
        <f t="shared" si="4"/>
        <v>7</v>
      </c>
      <c r="Z54" s="84">
        <f t="shared" si="16"/>
        <v>2.1</v>
      </c>
      <c r="AA54" s="84">
        <f t="shared" si="17"/>
        <v>2.1</v>
      </c>
      <c r="AB54" s="84">
        <f t="shared" si="18"/>
        <v>4.07</v>
      </c>
      <c r="AC54" s="84">
        <f t="shared" si="19"/>
        <v>4.07</v>
      </c>
      <c r="AD54" s="89"/>
      <c r="AE54" s="89"/>
      <c r="AF54" s="89"/>
      <c r="AG54" s="89"/>
    </row>
    <row r="55" spans="1:33" ht="20.100000000000001" customHeight="1" x14ac:dyDescent="0.3">
      <c r="A55" s="72" t="str">
        <f t="shared" si="20"/>
        <v/>
      </c>
      <c r="B55" s="73">
        <v>39</v>
      </c>
      <c r="C55" s="73">
        <v>8</v>
      </c>
      <c r="D55" s="75">
        <v>348</v>
      </c>
      <c r="E55" s="62">
        <f t="shared" si="21"/>
        <v>30.76923076923077</v>
      </c>
      <c r="F55" s="62">
        <f t="shared" si="22"/>
        <v>2.7692307692307692</v>
      </c>
      <c r="G55" s="62">
        <f t="shared" si="5"/>
        <v>2.1800000000000002</v>
      </c>
      <c r="H55" s="62">
        <f t="shared" si="28"/>
        <v>4.4738920308483294</v>
      </c>
      <c r="I55" s="74">
        <f t="shared" si="7"/>
        <v>963.69230769230762</v>
      </c>
      <c r="J55" s="62">
        <f t="shared" si="23"/>
        <v>0.589230769230769</v>
      </c>
      <c r="K55" s="62">
        <f t="shared" si="27"/>
        <v>0.4872714819598884</v>
      </c>
      <c r="L55" s="62">
        <f t="shared" si="24"/>
        <v>0.25033737668097317</v>
      </c>
      <c r="M55" s="62">
        <f>1+(('Separated method'!$M$21+'Separated method'!$M$20+'Separated method'!$M$22)/'Separated method'!$M$18)</f>
        <v>1.0061618015954692</v>
      </c>
      <c r="N55" s="62">
        <f t="shared" si="9"/>
        <v>0.96930318223677481</v>
      </c>
      <c r="O55" s="62">
        <f t="shared" si="10"/>
        <v>0.72992429780956192</v>
      </c>
      <c r="P55" s="62">
        <f t="shared" si="25"/>
        <v>254.01365563772754</v>
      </c>
      <c r="Q55" s="63">
        <f t="shared" si="11"/>
        <v>5.6287468557368769E-2</v>
      </c>
      <c r="R55" s="63">
        <f t="shared" si="12"/>
        <v>19.58803905796433</v>
      </c>
      <c r="S55" s="63">
        <f t="shared" si="13"/>
        <v>87.117407084978666</v>
      </c>
      <c r="T55" s="63">
        <f t="shared" si="14"/>
        <v>169.57047572204115</v>
      </c>
      <c r="U55" s="8"/>
      <c r="W55" s="84">
        <f t="shared" si="3"/>
        <v>0</v>
      </c>
      <c r="X55" s="84">
        <f t="shared" si="15"/>
        <v>7</v>
      </c>
      <c r="Y55" s="84">
        <f t="shared" si="4"/>
        <v>12</v>
      </c>
      <c r="Z55" s="84">
        <f t="shared" si="16"/>
        <v>2.1</v>
      </c>
      <c r="AA55" s="84">
        <f t="shared" si="17"/>
        <v>2.5</v>
      </c>
      <c r="AB55" s="84">
        <f t="shared" si="18"/>
        <v>4.07</v>
      </c>
      <c r="AC55" s="84">
        <f t="shared" si="19"/>
        <v>6.0894601542416451</v>
      </c>
      <c r="AD55" s="88"/>
      <c r="AE55" s="88"/>
      <c r="AF55" s="88"/>
      <c r="AG55" s="88"/>
    </row>
    <row r="56" spans="1:33" s="34" customFormat="1" ht="20.100000000000001" customHeight="1" x14ac:dyDescent="0.3">
      <c r="A56" s="72" t="str">
        <f t="shared" si="20"/>
        <v/>
      </c>
      <c r="B56" s="73">
        <v>40</v>
      </c>
      <c r="C56" s="73">
        <v>9</v>
      </c>
      <c r="D56" s="75">
        <v>335</v>
      </c>
      <c r="E56" s="62">
        <f t="shared" si="21"/>
        <v>26.923076923076923</v>
      </c>
      <c r="F56" s="62">
        <f t="shared" si="22"/>
        <v>2.4230769230769234</v>
      </c>
      <c r="G56" s="62">
        <f t="shared" si="5"/>
        <v>2.2600000000000002</v>
      </c>
      <c r="H56" s="62">
        <f t="shared" si="28"/>
        <v>4.8777840616966586</v>
      </c>
      <c r="I56" s="74">
        <f t="shared" si="7"/>
        <v>811.73076923076928</v>
      </c>
      <c r="J56" s="62">
        <f t="shared" si="23"/>
        <v>0.16307692307692312</v>
      </c>
      <c r="K56" s="62">
        <f t="shared" si="27"/>
        <v>0.46332514342873465</v>
      </c>
      <c r="L56" s="62">
        <f t="shared" si="24"/>
        <v>6.9283973702828128E-2</v>
      </c>
      <c r="M56" s="62">
        <f>1+(('Separated method'!$M$21+'Separated method'!$M$20+'Separated method'!$M$22)/'Separated method'!$M$18)</f>
        <v>1.0061618015954692</v>
      </c>
      <c r="N56" s="62">
        <f t="shared" si="9"/>
        <v>0.96930318223677481</v>
      </c>
      <c r="O56" s="62">
        <f t="shared" si="10"/>
        <v>0.53048231961689496</v>
      </c>
      <c r="P56" s="62">
        <f t="shared" si="25"/>
        <v>177.7115770716598</v>
      </c>
      <c r="Q56" s="63">
        <f t="shared" si="11"/>
        <v>1.5578255005433663E-2</v>
      </c>
      <c r="R56" s="63">
        <f t="shared" si="12"/>
        <v>5.2187154268202773</v>
      </c>
      <c r="S56" s="63">
        <f t="shared" si="13"/>
        <v>23.210131190447424</v>
      </c>
      <c r="T56" s="63">
        <f t="shared" si="14"/>
        <v>155.2139230486261</v>
      </c>
      <c r="U56" s="8"/>
      <c r="W56" s="84">
        <f t="shared" si="3"/>
        <v>0</v>
      </c>
      <c r="X56" s="84">
        <f t="shared" si="15"/>
        <v>7</v>
      </c>
      <c r="Y56" s="84">
        <f t="shared" si="4"/>
        <v>12</v>
      </c>
      <c r="Z56" s="84">
        <f t="shared" si="16"/>
        <v>2.1</v>
      </c>
      <c r="AA56" s="84">
        <f t="shared" si="17"/>
        <v>2.5</v>
      </c>
      <c r="AB56" s="84">
        <f t="shared" si="18"/>
        <v>4.07</v>
      </c>
      <c r="AC56" s="84">
        <f t="shared" si="19"/>
        <v>6.0894601542416451</v>
      </c>
      <c r="AD56" s="88"/>
      <c r="AE56" s="88"/>
      <c r="AF56" s="88"/>
      <c r="AG56" s="88"/>
    </row>
    <row r="57" spans="1:33" ht="20.100000000000001" customHeight="1" x14ac:dyDescent="0.3">
      <c r="A57" s="72" t="str">
        <f t="shared" si="20"/>
        <v/>
      </c>
      <c r="B57" s="73">
        <v>41</v>
      </c>
      <c r="C57" s="73">
        <v>10</v>
      </c>
      <c r="D57" s="75">
        <v>315</v>
      </c>
      <c r="E57" s="62">
        <f t="shared" si="21"/>
        <v>23.076923076923077</v>
      </c>
      <c r="F57" s="62">
        <f t="shared" si="22"/>
        <v>2.0769230769230766</v>
      </c>
      <c r="G57" s="62">
        <f t="shared" si="5"/>
        <v>2.34</v>
      </c>
      <c r="H57" s="62">
        <f t="shared" si="28"/>
        <v>5.2816760925449868</v>
      </c>
      <c r="I57" s="74">
        <f t="shared" si="7"/>
        <v>654.23076923076917</v>
      </c>
      <c r="J57" s="62">
        <f t="shared" si="23"/>
        <v>0</v>
      </c>
      <c r="K57" s="62">
        <f t="shared" si="27"/>
        <v>0.39323181515326638</v>
      </c>
      <c r="L57" s="62">
        <f t="shared" si="24"/>
        <v>0</v>
      </c>
      <c r="M57" s="62">
        <f>1+(('Separated method'!$M$21+'Separated method'!$M$20+'Separated method'!$M$22)/'Separated method'!$M$18)</f>
        <v>1.0061618015954692</v>
      </c>
      <c r="N57" s="62">
        <f t="shared" si="9"/>
        <v>0.96930318223677481</v>
      </c>
      <c r="O57" s="62">
        <f t="shared" si="10"/>
        <v>0.39323181515326638</v>
      </c>
      <c r="P57" s="62">
        <f t="shared" si="25"/>
        <v>123.86802177327891</v>
      </c>
      <c r="Q57" s="63">
        <f t="shared" si="11"/>
        <v>0</v>
      </c>
      <c r="R57" s="63">
        <f t="shared" si="12"/>
        <v>0</v>
      </c>
      <c r="S57" s="63">
        <f t="shared" si="13"/>
        <v>0</v>
      </c>
      <c r="T57" s="63">
        <f t="shared" si="14"/>
        <v>123.86802177327891</v>
      </c>
      <c r="U57" s="8"/>
      <c r="W57" s="84">
        <f t="shared" si="3"/>
        <v>0</v>
      </c>
      <c r="X57" s="84">
        <f t="shared" si="15"/>
        <v>7</v>
      </c>
      <c r="Y57" s="84">
        <f t="shared" si="4"/>
        <v>12</v>
      </c>
      <c r="Z57" s="84">
        <f t="shared" si="16"/>
        <v>2.1</v>
      </c>
      <c r="AA57" s="84">
        <f t="shared" si="17"/>
        <v>2.5</v>
      </c>
      <c r="AB57" s="84">
        <f t="shared" si="18"/>
        <v>4.07</v>
      </c>
      <c r="AC57" s="84">
        <f t="shared" si="19"/>
        <v>6.0894601542416451</v>
      </c>
      <c r="AD57" s="88"/>
      <c r="AE57" s="88"/>
      <c r="AF57" s="88"/>
      <c r="AG57" s="88"/>
    </row>
    <row r="58" spans="1:33" ht="20.100000000000001" customHeight="1" x14ac:dyDescent="0.3">
      <c r="A58" s="72" t="str">
        <f t="shared" si="20"/>
        <v/>
      </c>
      <c r="B58" s="73">
        <v>42</v>
      </c>
      <c r="C58" s="73">
        <v>11</v>
      </c>
      <c r="D58" s="75">
        <v>215</v>
      </c>
      <c r="E58" s="62">
        <f t="shared" si="21"/>
        <v>19.230769230769234</v>
      </c>
      <c r="F58" s="62">
        <f t="shared" si="22"/>
        <v>1.7307692307692308</v>
      </c>
      <c r="G58" s="62">
        <f t="shared" si="5"/>
        <v>2.42</v>
      </c>
      <c r="H58" s="62">
        <f t="shared" si="28"/>
        <v>5.685568123393316</v>
      </c>
      <c r="I58" s="74">
        <f t="shared" si="7"/>
        <v>372.11538461538464</v>
      </c>
      <c r="J58" s="62">
        <f t="shared" si="23"/>
        <v>0</v>
      </c>
      <c r="K58" s="62">
        <f t="shared" si="27"/>
        <v>0.30441447419264345</v>
      </c>
      <c r="L58" s="62">
        <f t="shared" si="24"/>
        <v>0</v>
      </c>
      <c r="M58" s="62">
        <f>1+(('Separated method'!$M$21+'Separated method'!$M$20+'Separated method'!$M$22)/'Separated method'!$M$18)</f>
        <v>1.0061618015954692</v>
      </c>
      <c r="N58" s="62">
        <f t="shared" si="9"/>
        <v>0.96930318223677481</v>
      </c>
      <c r="O58" s="62">
        <f t="shared" si="10"/>
        <v>0.30441447419264345</v>
      </c>
      <c r="P58" s="62">
        <f t="shared" si="25"/>
        <v>65.449111951418345</v>
      </c>
      <c r="Q58" s="63">
        <f t="shared" si="11"/>
        <v>0</v>
      </c>
      <c r="R58" s="63">
        <f t="shared" si="12"/>
        <v>0</v>
      </c>
      <c r="S58" s="63">
        <f t="shared" si="13"/>
        <v>0</v>
      </c>
      <c r="T58" s="63">
        <f t="shared" si="14"/>
        <v>65.449111951418345</v>
      </c>
      <c r="U58" s="8"/>
      <c r="W58" s="84">
        <f t="shared" si="3"/>
        <v>0</v>
      </c>
      <c r="X58" s="84">
        <f t="shared" si="15"/>
        <v>7</v>
      </c>
      <c r="Y58" s="84">
        <f t="shared" si="4"/>
        <v>12</v>
      </c>
      <c r="Z58" s="84">
        <f t="shared" si="16"/>
        <v>2.1</v>
      </c>
      <c r="AA58" s="84">
        <f t="shared" si="17"/>
        <v>2.5</v>
      </c>
      <c r="AB58" s="84">
        <f t="shared" si="18"/>
        <v>4.07</v>
      </c>
      <c r="AC58" s="84">
        <f t="shared" si="19"/>
        <v>6.0894601542416451</v>
      </c>
      <c r="AD58" s="88"/>
      <c r="AE58" s="88"/>
      <c r="AF58" s="88"/>
      <c r="AG58" s="88"/>
    </row>
    <row r="59" spans="1:33" s="40" customFormat="1" ht="20.100000000000001" customHeight="1" x14ac:dyDescent="0.3">
      <c r="A59" s="72" t="s">
        <v>9</v>
      </c>
      <c r="B59" s="77">
        <v>43</v>
      </c>
      <c r="C59" s="77">
        <v>12</v>
      </c>
      <c r="D59" s="78">
        <v>169</v>
      </c>
      <c r="E59" s="62">
        <f t="shared" si="21"/>
        <v>15.384615384615385</v>
      </c>
      <c r="F59" s="62">
        <f t="shared" si="22"/>
        <v>1.3846153846153846</v>
      </c>
      <c r="G59" s="62">
        <f t="shared" si="5"/>
        <v>2.5</v>
      </c>
      <c r="H59" s="62">
        <f t="shared" si="28"/>
        <v>6.0894601542416451</v>
      </c>
      <c r="I59" s="74">
        <f t="shared" si="7"/>
        <v>234</v>
      </c>
      <c r="J59" s="62">
        <f t="shared" si="23"/>
        <v>0</v>
      </c>
      <c r="K59" s="62">
        <f t="shared" si="27"/>
        <v>0.22737900397474867</v>
      </c>
      <c r="L59" s="62">
        <f t="shared" si="24"/>
        <v>0</v>
      </c>
      <c r="M59" s="62">
        <f>1+(('Separated method'!$M$21+'Separated method'!$M$20+'Separated method'!$M$22)/'Separated method'!$M$18)</f>
        <v>1.0061618015954692</v>
      </c>
      <c r="N59" s="62">
        <f t="shared" si="9"/>
        <v>0.96930318223677481</v>
      </c>
      <c r="O59" s="62">
        <f t="shared" si="10"/>
        <v>0.22737900397474867</v>
      </c>
      <c r="P59" s="62">
        <f t="shared" si="25"/>
        <v>38.427051671732528</v>
      </c>
      <c r="Q59" s="63">
        <f t="shared" si="11"/>
        <v>0</v>
      </c>
      <c r="R59" s="63">
        <f t="shared" si="12"/>
        <v>0</v>
      </c>
      <c r="S59" s="63">
        <f t="shared" si="13"/>
        <v>0</v>
      </c>
      <c r="T59" s="63">
        <f t="shared" si="14"/>
        <v>38.427051671732528</v>
      </c>
      <c r="U59" s="8"/>
      <c r="W59" s="84">
        <f t="shared" si="3"/>
        <v>1</v>
      </c>
      <c r="X59" s="84">
        <f t="shared" si="15"/>
        <v>12</v>
      </c>
      <c r="Y59" s="84">
        <f t="shared" si="4"/>
        <v>12</v>
      </c>
      <c r="Z59" s="84">
        <f t="shared" si="16"/>
        <v>2.5</v>
      </c>
      <c r="AA59" s="84">
        <f t="shared" si="17"/>
        <v>2.5</v>
      </c>
      <c r="AB59" s="84">
        <f t="shared" si="18"/>
        <v>6.0894601542416451</v>
      </c>
      <c r="AC59" s="84">
        <f t="shared" si="19"/>
        <v>6.0894601542416451</v>
      </c>
      <c r="AD59" s="89"/>
      <c r="AE59" s="89"/>
      <c r="AF59" s="89"/>
      <c r="AG59" s="89"/>
    </row>
    <row r="60" spans="1:33" ht="20.100000000000001" customHeight="1" x14ac:dyDescent="0.3">
      <c r="A60" s="72" t="str">
        <f t="shared" si="20"/>
        <v/>
      </c>
      <c r="B60" s="73">
        <v>44</v>
      </c>
      <c r="C60" s="73">
        <v>13</v>
      </c>
      <c r="D60" s="75">
        <v>151</v>
      </c>
      <c r="E60" s="62">
        <f>(C60-16)/(E$5-16)*100</f>
        <v>11.538461538461538</v>
      </c>
      <c r="F60" s="62">
        <f>E60*$E$6/100</f>
        <v>1.0384615384615383</v>
      </c>
      <c r="G60" s="62">
        <f t="shared" si="5"/>
        <v>2.58</v>
      </c>
      <c r="H60" s="62">
        <f t="shared" si="28"/>
        <v>6.4933521850899734</v>
      </c>
      <c r="I60" s="74">
        <f t="shared" si="7"/>
        <v>156.80769230769229</v>
      </c>
      <c r="J60" s="62">
        <f t="shared" si="23"/>
        <v>0</v>
      </c>
      <c r="K60" s="62">
        <f t="shared" si="27"/>
        <v>0.15992687734481004</v>
      </c>
      <c r="L60" s="62">
        <f t="shared" si="24"/>
        <v>0</v>
      </c>
      <c r="M60" s="62">
        <f>1+(('Separated method'!$M$21+'Separated method'!$M$20+'Separated method'!$M$22)/'Separated method'!$M$18)</f>
        <v>1.0061618015954692</v>
      </c>
      <c r="N60" s="62">
        <f t="shared" si="9"/>
        <v>0.96930318223677481</v>
      </c>
      <c r="O60" s="62">
        <f t="shared" si="10"/>
        <v>0.15992687734481004</v>
      </c>
      <c r="P60" s="62">
        <f t="shared" si="25"/>
        <v>24.148958479066316</v>
      </c>
      <c r="Q60" s="63">
        <f t="shared" si="11"/>
        <v>0</v>
      </c>
      <c r="R60" s="63">
        <f t="shared" si="12"/>
        <v>0</v>
      </c>
      <c r="S60" s="63">
        <f t="shared" si="13"/>
        <v>0</v>
      </c>
      <c r="T60" s="63">
        <f t="shared" si="14"/>
        <v>24.148958479066316</v>
      </c>
      <c r="U60" s="8"/>
      <c r="W60" s="84">
        <f t="shared" si="3"/>
        <v>0</v>
      </c>
      <c r="X60" s="84">
        <v>7</v>
      </c>
      <c r="Y60" s="84">
        <f t="shared" si="4"/>
        <v>12</v>
      </c>
      <c r="Z60" s="84">
        <f t="shared" si="16"/>
        <v>2.1</v>
      </c>
      <c r="AA60" s="84">
        <f t="shared" si="17"/>
        <v>2.5</v>
      </c>
      <c r="AB60" s="84">
        <f t="shared" si="18"/>
        <v>4.07</v>
      </c>
      <c r="AC60" s="84">
        <f t="shared" si="19"/>
        <v>6.0894601542416451</v>
      </c>
      <c r="AD60" s="88"/>
      <c r="AE60" s="88"/>
      <c r="AF60" s="88"/>
      <c r="AG60" s="88"/>
    </row>
    <row r="61" spans="1:33" ht="20.100000000000001" customHeight="1" x14ac:dyDescent="0.3">
      <c r="A61" s="72" t="str">
        <f t="shared" si="20"/>
        <v/>
      </c>
      <c r="B61" s="73">
        <v>45</v>
      </c>
      <c r="C61" s="73">
        <v>14</v>
      </c>
      <c r="D61" s="75">
        <v>105</v>
      </c>
      <c r="E61" s="62">
        <f t="shared" si="21"/>
        <v>7.6923076923076925</v>
      </c>
      <c r="F61" s="62">
        <f t="shared" si="22"/>
        <v>0.69230769230769229</v>
      </c>
      <c r="G61" s="62">
        <f t="shared" si="5"/>
        <v>2.66</v>
      </c>
      <c r="H61" s="62">
        <f t="shared" si="28"/>
        <v>6.8972442159383025</v>
      </c>
      <c r="I61" s="74">
        <f t="shared" si="7"/>
        <v>72.692307692307693</v>
      </c>
      <c r="J61" s="62">
        <f t="shared" si="23"/>
        <v>0</v>
      </c>
      <c r="K61" s="62">
        <f t="shared" si="27"/>
        <v>0.10037453664579435</v>
      </c>
      <c r="L61" s="62">
        <f t="shared" si="24"/>
        <v>0</v>
      </c>
      <c r="M61" s="62">
        <f>1+(('Separated method'!$M$21+'Separated method'!$M$20+'Separated method'!$M$22)/'Separated method'!$M$18)</f>
        <v>1.0061618015954692</v>
      </c>
      <c r="N61" s="62">
        <f t="shared" si="9"/>
        <v>0.96930318223677481</v>
      </c>
      <c r="O61" s="62">
        <f t="shared" si="10"/>
        <v>0.10037453664579435</v>
      </c>
      <c r="P61" s="62">
        <f t="shared" si="25"/>
        <v>10.539326347808407</v>
      </c>
      <c r="Q61" s="63">
        <f t="shared" si="11"/>
        <v>0</v>
      </c>
      <c r="R61" s="63">
        <f t="shared" si="12"/>
        <v>0</v>
      </c>
      <c r="S61" s="63">
        <f t="shared" si="13"/>
        <v>0</v>
      </c>
      <c r="T61" s="63">
        <f t="shared" si="14"/>
        <v>10.539326347808407</v>
      </c>
      <c r="U61" s="8"/>
      <c r="W61" s="84">
        <f t="shared" si="3"/>
        <v>0</v>
      </c>
      <c r="X61" s="84">
        <f>IF(W61=0,X60,#REF!)</f>
        <v>7</v>
      </c>
      <c r="Y61" s="84">
        <f t="shared" si="4"/>
        <v>12</v>
      </c>
      <c r="Z61" s="84">
        <f t="shared" si="16"/>
        <v>2.1</v>
      </c>
      <c r="AA61" s="84">
        <f t="shared" si="17"/>
        <v>2.5</v>
      </c>
      <c r="AB61" s="84">
        <f t="shared" si="18"/>
        <v>4.07</v>
      </c>
      <c r="AC61" s="84">
        <f t="shared" si="19"/>
        <v>6.0894601542416451</v>
      </c>
      <c r="AD61" s="88"/>
      <c r="AE61" s="88"/>
      <c r="AF61" s="88"/>
      <c r="AG61" s="88"/>
    </row>
    <row r="62" spans="1:33" ht="20.100000000000001" customHeight="1" x14ac:dyDescent="0.3">
      <c r="A62" s="72" t="str">
        <f t="shared" si="20"/>
        <v/>
      </c>
      <c r="B62" s="73">
        <v>46</v>
      </c>
      <c r="C62" s="73">
        <v>15</v>
      </c>
      <c r="D62" s="75">
        <v>74</v>
      </c>
      <c r="E62" s="62">
        <f t="shared" si="21"/>
        <v>3.8461538461538463</v>
      </c>
      <c r="F62" s="62">
        <f t="shared" si="22"/>
        <v>0.34615384615384615</v>
      </c>
      <c r="G62" s="62">
        <f t="shared" si="5"/>
        <v>2.74</v>
      </c>
      <c r="H62" s="62">
        <f t="shared" si="28"/>
        <v>7.3011362467866316</v>
      </c>
      <c r="I62" s="74">
        <f t="shared" si="7"/>
        <v>25.615384615384613</v>
      </c>
      <c r="J62" s="62">
        <f t="shared" si="23"/>
        <v>0</v>
      </c>
      <c r="K62" s="62">
        <f t="shared" si="27"/>
        <v>4.7410955562731075E-2</v>
      </c>
      <c r="L62" s="62">
        <f t="shared" si="24"/>
        <v>0</v>
      </c>
      <c r="M62" s="62">
        <f>1+(('Separated method'!$M$21+'Separated method'!$M$20+'Separated method'!$M$22)/'Separated method'!$M$18)</f>
        <v>1.0061618015954692</v>
      </c>
      <c r="N62" s="62">
        <f t="shared" si="9"/>
        <v>0.96930318223677481</v>
      </c>
      <c r="O62" s="62">
        <f t="shared" si="10"/>
        <v>4.7410955562731075E-2</v>
      </c>
      <c r="P62" s="62">
        <f t="shared" si="25"/>
        <v>3.5084107116420995</v>
      </c>
      <c r="Q62" s="63">
        <f t="shared" si="11"/>
        <v>0</v>
      </c>
      <c r="R62" s="63">
        <f t="shared" si="12"/>
        <v>0</v>
      </c>
      <c r="S62" s="63">
        <f t="shared" si="13"/>
        <v>0</v>
      </c>
      <c r="T62" s="63">
        <f t="shared" si="14"/>
        <v>3.5084107116420995</v>
      </c>
      <c r="U62" s="8"/>
      <c r="W62" s="84">
        <f t="shared" si="3"/>
        <v>0</v>
      </c>
      <c r="X62" s="84">
        <f>IF(W62=0,X61,#REF!)</f>
        <v>7</v>
      </c>
      <c r="Y62" s="84">
        <v>12</v>
      </c>
      <c r="Z62" s="84">
        <f t="shared" si="16"/>
        <v>2.1</v>
      </c>
      <c r="AA62" s="84">
        <f t="shared" si="17"/>
        <v>2.5</v>
      </c>
      <c r="AB62" s="84">
        <f t="shared" si="18"/>
        <v>4.07</v>
      </c>
      <c r="AC62" s="84">
        <f t="shared" si="19"/>
        <v>6.0894601542416451</v>
      </c>
      <c r="AD62" s="88"/>
      <c r="AE62" s="88"/>
      <c r="AF62" s="88"/>
      <c r="AG62" s="88"/>
    </row>
    <row r="63" spans="1:33" x14ac:dyDescent="0.25">
      <c r="A63" s="55" t="s">
        <v>110</v>
      </c>
      <c r="B63" s="80"/>
      <c r="C63" s="80"/>
      <c r="D63" s="93"/>
      <c r="E63" s="81"/>
      <c r="F63" s="92">
        <f>SUM(F37:F62)</f>
        <v>121.5</v>
      </c>
      <c r="G63" s="92">
        <f>SUM(G37:G62)</f>
        <v>93.38000000000001</v>
      </c>
      <c r="H63" s="82"/>
      <c r="I63" s="61">
        <f>SUM(I37:I62)</f>
        <v>18590.538461538457</v>
      </c>
      <c r="J63" s="83"/>
      <c r="K63" s="83"/>
      <c r="L63" s="79"/>
      <c r="M63" s="79"/>
      <c r="N63" s="79"/>
      <c r="O63" s="79"/>
      <c r="P63" s="92">
        <f>SUM(P37:P62)</f>
        <v>5943.7562918664853</v>
      </c>
      <c r="Q63" s="79">
        <f>SUM(Q37:Q62)</f>
        <v>3.447644190306304</v>
      </c>
      <c r="R63" s="79">
        <f>SUM(R37:R62)</f>
        <v>475.15627497859509</v>
      </c>
      <c r="S63" s="1">
        <f>SUM(S37:S62)</f>
        <v>2113.2479118404517</v>
      </c>
      <c r="T63" s="1">
        <f>SUM(T37:T62)</f>
        <v>3895.3783660643167</v>
      </c>
    </row>
    <row r="64" spans="1:33" ht="72.75" customHeight="1" x14ac:dyDescent="0.25">
      <c r="A64" s="79"/>
      <c r="B64" s="80"/>
      <c r="C64" s="80"/>
      <c r="D64" s="93"/>
      <c r="E64" s="81"/>
      <c r="F64" s="82"/>
      <c r="G64" s="82"/>
      <c r="H64" s="82"/>
      <c r="I64" s="83"/>
      <c r="J64" s="83"/>
      <c r="K64" s="83"/>
      <c r="L64" s="79"/>
      <c r="M64" s="79"/>
      <c r="N64" s="79"/>
      <c r="O64" s="79"/>
      <c r="P64" s="82"/>
      <c r="Q64" s="82"/>
      <c r="R64" s="79"/>
    </row>
    <row r="65" spans="1:16" ht="59.25" customHeight="1" x14ac:dyDescent="0.25">
      <c r="A65" s="79"/>
      <c r="B65" s="80"/>
      <c r="C65" s="80"/>
      <c r="D65" s="93"/>
      <c r="E65" s="81"/>
      <c r="F65" s="82"/>
      <c r="G65" s="82"/>
      <c r="H65" s="82"/>
      <c r="I65" s="83"/>
      <c r="J65" s="83"/>
      <c r="K65" s="83"/>
      <c r="L65" s="79"/>
      <c r="M65" s="79"/>
      <c r="N65" s="79"/>
      <c r="O65" s="79"/>
      <c r="P65" s="82"/>
    </row>
    <row r="66" spans="1:16" ht="59.25" customHeight="1" x14ac:dyDescent="0.25">
      <c r="A66" s="79"/>
      <c r="B66" s="80"/>
      <c r="C66" s="80"/>
      <c r="D66" s="93"/>
      <c r="E66" s="81"/>
      <c r="F66" s="82"/>
      <c r="G66" s="82"/>
      <c r="H66" s="82"/>
      <c r="I66" s="83"/>
      <c r="J66" s="83"/>
      <c r="K66" s="83"/>
      <c r="L66" s="79"/>
      <c r="M66" s="79"/>
      <c r="N66" s="79"/>
      <c r="O66" s="79"/>
      <c r="P66" s="82"/>
    </row>
    <row r="67" spans="1:16" ht="58.5" customHeight="1" x14ac:dyDescent="0.25">
      <c r="A67" s="79"/>
      <c r="B67" s="79"/>
      <c r="C67" s="79"/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</row>
    <row r="70" spans="1:16" s="8" customFormat="1" ht="25.5" customHeight="1" x14ac:dyDescent="0.25"/>
    <row r="71" spans="1:16" ht="25.5" customHeight="1" x14ac:dyDescent="0.25"/>
    <row r="72" spans="1:16" ht="25.5" customHeight="1" x14ac:dyDescent="0.25"/>
    <row r="73" spans="1:16" ht="25.5" customHeight="1" x14ac:dyDescent="0.25"/>
    <row r="74" spans="1:16" x14ac:dyDescent="0.25">
      <c r="D74" s="11"/>
    </row>
    <row r="75" spans="1:16" x14ac:dyDescent="0.25">
      <c r="D75" s="11"/>
    </row>
    <row r="76" spans="1:16" x14ac:dyDescent="0.25">
      <c r="D76" s="11"/>
    </row>
    <row r="77" spans="1:16" x14ac:dyDescent="0.25">
      <c r="D77" s="11"/>
    </row>
  </sheetData>
  <mergeCells count="16">
    <mergeCell ref="A3:B3"/>
    <mergeCell ref="D3:F3"/>
    <mergeCell ref="H8:K8"/>
    <mergeCell ref="G25:I25"/>
    <mergeCell ref="R1:U1"/>
    <mergeCell ref="R2:U2"/>
    <mergeCell ref="Q10:U10"/>
    <mergeCell ref="Q11:U11"/>
    <mergeCell ref="Q12:U12"/>
    <mergeCell ref="F15:H15"/>
    <mergeCell ref="Q34:R34"/>
    <mergeCell ref="A33:T33"/>
    <mergeCell ref="L16:Q16"/>
    <mergeCell ref="G34:H34"/>
    <mergeCell ref="J34:P34"/>
    <mergeCell ref="A34:A35"/>
  </mergeCells>
  <phoneticPr fontId="3" type="noConversion"/>
  <dataValidations disablePrompts="1" count="1">
    <dataValidation type="list" allowBlank="1" showInputMessage="1" showErrorMessage="1" sqref="B6:B13" xr:uid="{00000000-0002-0000-0000-000000000000}">
      <formula1>#REF!</formula1>
    </dataValidation>
  </dataValidations>
  <pageMargins left="0.19685039370078741" right="0.19685039370078741" top="0.19685039370078741" bottom="0.19685039370078741" header="0.19685039370078741" footer="0.19685039370078741"/>
  <pageSetup paperSize="9" scale="75" orientation="landscape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EC115D-2C3D-43CA-A084-5104CD99DDB0}">
  <sheetPr codeName="Feuil5">
    <tabColor theme="7"/>
  </sheetPr>
  <dimension ref="A1:E32"/>
  <sheetViews>
    <sheetView workbookViewId="0">
      <selection activeCell="B31" sqref="B31"/>
    </sheetView>
  </sheetViews>
  <sheetFormatPr baseColWidth="10" defaultRowHeight="13.2" x14ac:dyDescent="0.25"/>
  <cols>
    <col min="1" max="1" width="17.6640625" bestFit="1" customWidth="1"/>
    <col min="2" max="2" width="22.33203125" bestFit="1" customWidth="1"/>
    <col min="3" max="3" width="14.109375" bestFit="1" customWidth="1"/>
    <col min="4" max="4" width="18.109375" bestFit="1" customWidth="1"/>
  </cols>
  <sheetData>
    <row r="1" spans="1:4" x14ac:dyDescent="0.25">
      <c r="A1" s="131" t="s">
        <v>129</v>
      </c>
      <c r="B1" s="131"/>
      <c r="C1" s="131"/>
      <c r="D1" s="131"/>
    </row>
    <row r="2" spans="1:4" ht="26.4" x14ac:dyDescent="0.25">
      <c r="A2" s="103" t="s">
        <v>142</v>
      </c>
      <c r="B2" s="104" t="s">
        <v>145</v>
      </c>
      <c r="C2" s="104" t="s">
        <v>143</v>
      </c>
      <c r="D2" s="104" t="s">
        <v>144</v>
      </c>
    </row>
    <row r="3" spans="1:4" x14ac:dyDescent="0.25">
      <c r="A3" s="105">
        <f>'Separated method'!F37*'Separated method'!D37</f>
        <v>9</v>
      </c>
      <c r="B3" s="102">
        <f>'Separated method'!D37*'Separated method'!G37</f>
        <v>5.3</v>
      </c>
      <c r="C3">
        <f>IF(B3&gt;A3,A3,IF(B3/A3&gt;=0.9,A3,B3))</f>
        <v>5.3</v>
      </c>
      <c r="D3" s="102">
        <f>IF('Separated method'!J37*'Separated method'!D37/A3&gt;0.1,'Separated method'!J37*'Separated method'!D37,0)</f>
        <v>3.7</v>
      </c>
    </row>
    <row r="4" spans="1:4" x14ac:dyDescent="0.25">
      <c r="A4" s="105">
        <f>'Separated method'!F38*'Separated method'!D38</f>
        <v>216.34615384615387</v>
      </c>
      <c r="B4" s="102">
        <f>'Separated method'!D38*'Separated method'!G38</f>
        <v>134.16666666666666</v>
      </c>
      <c r="C4">
        <f t="shared" ref="C4:C27" si="0">IF(B4&gt;A4,A4,IF(B4/A4&gt;=0.9,A4,B4))</f>
        <v>134.16666666666666</v>
      </c>
      <c r="D4" s="102">
        <f>IF('Separated method'!J38*'Separated method'!D38/A4&gt;0.1,'Separated method'!J38*'Separated method'!D38,0)</f>
        <v>82.179487179487225</v>
      </c>
    </row>
    <row r="5" spans="1:4" x14ac:dyDescent="0.25">
      <c r="A5" s="105">
        <f>'Separated method'!F39*'Separated method'!D39</f>
        <v>191.07692307692304</v>
      </c>
      <c r="B5" s="102">
        <f>'Separated method'!D39*'Separated method'!G39</f>
        <v>124.96666666666667</v>
      </c>
      <c r="C5">
        <f t="shared" si="0"/>
        <v>124.96666666666667</v>
      </c>
      <c r="D5" s="102">
        <f>IF('Separated method'!J39*'Separated method'!D39/A5&gt;0.1,'Separated method'!J39*'Separated method'!D39,0)</f>
        <v>66.110256410256383</v>
      </c>
    </row>
    <row r="6" spans="1:4" x14ac:dyDescent="0.25">
      <c r="A6" s="105">
        <f>'Separated method'!F40*'Separated method'!D40</f>
        <v>191.07692307692307</v>
      </c>
      <c r="B6" s="102">
        <f>'Separated method'!D40*'Separated method'!G40</f>
        <v>132</v>
      </c>
      <c r="C6">
        <f t="shared" si="0"/>
        <v>132</v>
      </c>
      <c r="D6" s="102">
        <f>IF('Separated method'!J40*'Separated method'!D40/A6&gt;0.1,'Separated method'!J40*'Separated method'!D40,0)</f>
        <v>59.076923076923059</v>
      </c>
    </row>
    <row r="7" spans="1:4" x14ac:dyDescent="0.25">
      <c r="A7" s="105">
        <f>'Separated method'!F41*'Separated method'!D41</f>
        <v>205.61538461538464</v>
      </c>
      <c r="B7" s="102">
        <f>'Separated method'!D41*'Separated method'!G41</f>
        <v>142.19999999999999</v>
      </c>
      <c r="C7">
        <f t="shared" si="0"/>
        <v>142.19999999999999</v>
      </c>
      <c r="D7" s="102">
        <f>IF('Separated method'!J41*'Separated method'!D41/A7&gt;0.1,'Separated method'!J41*'Separated method'!D41,0)</f>
        <v>63.415384615384632</v>
      </c>
    </row>
    <row r="8" spans="1:4" x14ac:dyDescent="0.25">
      <c r="A8" s="105">
        <f>'Separated method'!F42*'Separated method'!D42</f>
        <v>494.30769230769232</v>
      </c>
      <c r="B8" s="102">
        <f>'Separated method'!D42*'Separated method'!G42</f>
        <v>342.26666666666665</v>
      </c>
      <c r="C8">
        <f t="shared" si="0"/>
        <v>342.26666666666665</v>
      </c>
      <c r="D8" s="102">
        <f>IF('Separated method'!J42*'Separated method'!D42/A8&gt;0.1,'Separated method'!J42*'Separated method'!D42,0)</f>
        <v>152.04102564102564</v>
      </c>
    </row>
    <row r="9" spans="1:4" x14ac:dyDescent="0.25">
      <c r="A9" s="105">
        <f>'Separated method'!F43*'Separated method'!D43</f>
        <v>630</v>
      </c>
      <c r="B9" s="102">
        <f>'Separated method'!D43*'Separated method'!G43</f>
        <v>436.8</v>
      </c>
      <c r="C9">
        <f t="shared" si="0"/>
        <v>436.8</v>
      </c>
      <c r="D9" s="102">
        <f>IF('Separated method'!J43*'Separated method'!D43/A9&gt;0.1,'Separated method'!J43*'Separated method'!D43,0)</f>
        <v>193.20000000000005</v>
      </c>
    </row>
    <row r="10" spans="1:4" x14ac:dyDescent="0.25">
      <c r="A10" s="105">
        <f>'Separated method'!F44*'Separated method'!D44</f>
        <v>585.34615384615381</v>
      </c>
      <c r="B10" s="102">
        <f>'Separated method'!D44*'Separated method'!G44</f>
        <v>406.43333333333334</v>
      </c>
      <c r="C10">
        <f t="shared" si="0"/>
        <v>406.43333333333334</v>
      </c>
      <c r="D10" s="102">
        <f>IF('Separated method'!J44*'Separated method'!D44/A10&gt;0.1,'Separated method'!J44*'Separated method'!D44,0)</f>
        <v>178.9128205128205</v>
      </c>
    </row>
    <row r="11" spans="1:4" x14ac:dyDescent="0.25">
      <c r="A11" s="105">
        <f>'Separated method'!F45*'Separated method'!D45</f>
        <v>1028.0769230769231</v>
      </c>
      <c r="B11" s="102">
        <f>'Separated method'!D45*'Separated method'!G45</f>
        <v>715</v>
      </c>
      <c r="C11">
        <f t="shared" si="0"/>
        <v>715</v>
      </c>
      <c r="D11" s="102">
        <f>IF('Separated method'!J45*'Separated method'!D45/A11&gt;0.1,'Separated method'!J45*'Separated method'!D45,0)</f>
        <v>313.07692307692315</v>
      </c>
    </row>
    <row r="12" spans="1:4" x14ac:dyDescent="0.25">
      <c r="A12" s="105">
        <f>'Separated method'!F46*'Separated method'!D46</f>
        <v>1018.0384615384614</v>
      </c>
      <c r="B12" s="102">
        <f>'Separated method'!D46*'Separated method'!G46</f>
        <v>709.3</v>
      </c>
      <c r="C12">
        <f t="shared" si="0"/>
        <v>709.3</v>
      </c>
      <c r="D12" s="102">
        <f>IF('Separated method'!J46*'Separated method'!D46/A12&gt;0.1,'Separated method'!J46*'Separated method'!D46,0)</f>
        <v>308.73846153846154</v>
      </c>
    </row>
    <row r="13" spans="1:4" x14ac:dyDescent="0.25">
      <c r="A13" s="105">
        <f>'Separated method'!F47*'Separated method'!D47</f>
        <v>1329.2307692307693</v>
      </c>
      <c r="B13" s="102">
        <f>'Separated method'!D47*'Separated method'!G47</f>
        <v>927.99999999999989</v>
      </c>
      <c r="C13">
        <f t="shared" si="0"/>
        <v>927.99999999999989</v>
      </c>
      <c r="D13" s="102">
        <f>IF('Separated method'!J47*'Separated method'!D47/A13&gt;0.1,'Separated method'!J47*'Separated method'!D47,0)</f>
        <v>401.23076923076928</v>
      </c>
    </row>
    <row r="14" spans="1:4" x14ac:dyDescent="0.25">
      <c r="A14" s="105">
        <f>'Separated method'!F48*'Separated method'!D48</f>
        <v>1453.8461538461536</v>
      </c>
      <c r="B14" s="102">
        <f>'Separated method'!D48*'Separated method'!G48</f>
        <v>1017.3333333333334</v>
      </c>
      <c r="C14">
        <f t="shared" si="0"/>
        <v>1017.3333333333334</v>
      </c>
      <c r="D14" s="102">
        <f>IF('Separated method'!J48*'Separated method'!D48/A14&gt;0.1,'Separated method'!J48*'Separated method'!D48,0)</f>
        <v>436.51282051282033</v>
      </c>
    </row>
    <row r="15" spans="1:4" x14ac:dyDescent="0.25">
      <c r="A15" s="105">
        <f>'Separated method'!F49*'Separated method'!D49</f>
        <v>1550.7692307692309</v>
      </c>
      <c r="B15" s="102">
        <f>'Separated method'!D49*'Separated method'!G49</f>
        <v>1088</v>
      </c>
      <c r="C15">
        <f t="shared" si="0"/>
        <v>1088</v>
      </c>
      <c r="D15" s="102">
        <f>IF('Separated method'!J49*'Separated method'!D49/A15&gt;0.1,'Separated method'!J49*'Separated method'!D49,0)</f>
        <v>462.76923076923094</v>
      </c>
    </row>
    <row r="16" spans="1:4" x14ac:dyDescent="0.25">
      <c r="A16" s="105">
        <f>'Separated method'!F50*'Separated method'!D50</f>
        <v>1606.5</v>
      </c>
      <c r="B16" s="102">
        <f>'Separated method'!D50*'Separated method'!G50</f>
        <v>1120.98</v>
      </c>
      <c r="C16">
        <f t="shared" si="0"/>
        <v>1120.98</v>
      </c>
      <c r="D16" s="102">
        <f>IF('Separated method'!J50*'Separated method'!D50/A16&gt;0.1,'Separated method'!J50*'Separated method'!D50,0)</f>
        <v>485.52</v>
      </c>
    </row>
    <row r="17" spans="1:5" x14ac:dyDescent="0.25">
      <c r="A17" s="105">
        <f>'Separated method'!F51*'Separated method'!D51</f>
        <v>1478.7692307692305</v>
      </c>
      <c r="B17" s="102">
        <f>'Separated method'!D51*'Separated method'!G51</f>
        <v>1025.28</v>
      </c>
      <c r="C17">
        <f t="shared" si="0"/>
        <v>1025.28</v>
      </c>
      <c r="D17" s="102">
        <f>IF('Separated method'!J51*'Separated method'!D51/A17&gt;0.1,'Separated method'!J51*'Separated method'!D51,0)</f>
        <v>453.48923076923063</v>
      </c>
    </row>
    <row r="18" spans="1:5" x14ac:dyDescent="0.25">
      <c r="A18" s="105">
        <f>'Separated method'!F52*'Separated method'!D52</f>
        <v>1153.7307692307693</v>
      </c>
      <c r="B18" s="102">
        <f>'Separated method'!D52*'Separated method'!G52</f>
        <v>793.86</v>
      </c>
      <c r="C18">
        <f t="shared" si="0"/>
        <v>793.86</v>
      </c>
      <c r="D18" s="102">
        <f>IF('Separated method'!J52*'Separated method'!D52/A18&gt;0.1,'Separated method'!J52*'Separated method'!D52,0)</f>
        <v>359.87076923076927</v>
      </c>
    </row>
    <row r="19" spans="1:5" x14ac:dyDescent="0.25">
      <c r="A19" s="105">
        <f>'Separated method'!F53*'Separated method'!D53</f>
        <v>1142.3076923076924</v>
      </c>
      <c r="B19" s="102">
        <f>'Separated method'!D53*'Separated method'!G53</f>
        <v>778.80000000000007</v>
      </c>
      <c r="C19">
        <f t="shared" si="0"/>
        <v>778.80000000000007</v>
      </c>
      <c r="D19" s="102">
        <f>IF('Separated method'!J53*'Separated method'!D53/A19&gt;0.1,'Separated method'!J53*'Separated method'!D53,0)</f>
        <v>363.50769230769225</v>
      </c>
    </row>
    <row r="20" spans="1:5" x14ac:dyDescent="0.25">
      <c r="A20" s="105">
        <f>'Separated method'!F54*'Separated method'!D54</f>
        <v>1015.6153846153846</v>
      </c>
      <c r="B20" s="102">
        <f>'Separated method'!D54*'Separated method'!G54</f>
        <v>684.6</v>
      </c>
      <c r="C20">
        <f t="shared" si="0"/>
        <v>684.6</v>
      </c>
      <c r="D20" s="102">
        <f>IF('Separated method'!J54*'Separated method'!D54/A20&gt;0.1,'Separated method'!J54*'Separated method'!D54,0)</f>
        <v>331.01538461538462</v>
      </c>
    </row>
    <row r="21" spans="1:5" x14ac:dyDescent="0.25">
      <c r="A21" s="105">
        <f>'Separated method'!F55*'Separated method'!D55</f>
        <v>963.69230769230762</v>
      </c>
      <c r="B21" s="102">
        <f>'Separated method'!D55*'Separated method'!G55</f>
        <v>758.6400000000001</v>
      </c>
      <c r="C21">
        <f t="shared" si="0"/>
        <v>758.6400000000001</v>
      </c>
      <c r="D21" s="102">
        <f>IF('Separated method'!J55*'Separated method'!D55/A21&gt;0.1,'Separated method'!J55*'Separated method'!D55,0)</f>
        <v>205.05230769230761</v>
      </c>
    </row>
    <row r="22" spans="1:5" x14ac:dyDescent="0.25">
      <c r="A22" s="105">
        <f>'Separated method'!F56*'Separated method'!D56</f>
        <v>811.73076923076928</v>
      </c>
      <c r="B22" s="102">
        <f>'Separated method'!D56*'Separated method'!G56</f>
        <v>757.1</v>
      </c>
      <c r="C22">
        <f t="shared" si="0"/>
        <v>811.73076923076928</v>
      </c>
      <c r="D22" s="102">
        <f>IF('Separated method'!J56*'Separated method'!D56/A22&gt;0.1,'Separated method'!J56*'Separated method'!D56,0)</f>
        <v>0</v>
      </c>
    </row>
    <row r="23" spans="1:5" x14ac:dyDescent="0.25">
      <c r="A23" s="105">
        <f>'Separated method'!F57*'Separated method'!D57</f>
        <v>654.23076923076917</v>
      </c>
      <c r="B23" s="102">
        <f>'Separated method'!D57*'Separated method'!G57</f>
        <v>737.09999999999991</v>
      </c>
      <c r="C23">
        <f t="shared" si="0"/>
        <v>654.23076923076917</v>
      </c>
      <c r="D23" s="102">
        <f>IF('Separated method'!J57*'Separated method'!D57/A23&gt;0.1,'Separated method'!J57*'Separated method'!D57,0)</f>
        <v>0</v>
      </c>
    </row>
    <row r="24" spans="1:5" x14ac:dyDescent="0.25">
      <c r="A24" s="105">
        <f>'Separated method'!F58*'Separated method'!D58</f>
        <v>372.11538461538464</v>
      </c>
      <c r="B24" s="102">
        <f>'Separated method'!D58*'Separated method'!G58</f>
        <v>520.29999999999995</v>
      </c>
      <c r="C24">
        <f t="shared" si="0"/>
        <v>372.11538461538464</v>
      </c>
      <c r="D24" s="102">
        <f>IF('Separated method'!J58*'Separated method'!D58/A24&gt;0.1,'Separated method'!J58*'Separated method'!D58,0)</f>
        <v>0</v>
      </c>
    </row>
    <row r="25" spans="1:5" x14ac:dyDescent="0.25">
      <c r="A25" s="105">
        <f>'Separated method'!F59*'Separated method'!D59</f>
        <v>234</v>
      </c>
      <c r="B25" s="102">
        <f>'Separated method'!D59*'Separated method'!G59</f>
        <v>422.5</v>
      </c>
      <c r="C25">
        <f t="shared" si="0"/>
        <v>234</v>
      </c>
      <c r="D25" s="102">
        <f>IF('Separated method'!J59*'Separated method'!D59/A25&gt;0.1,'Separated method'!J59*'Separated method'!D59,0)</f>
        <v>0</v>
      </c>
    </row>
    <row r="26" spans="1:5" x14ac:dyDescent="0.25">
      <c r="A26" s="105">
        <f>'Separated method'!F60*'Separated method'!D60</f>
        <v>156.80769230769229</v>
      </c>
      <c r="B26" s="102">
        <f>'Separated method'!D60*'Separated method'!G60</f>
        <v>389.58</v>
      </c>
      <c r="C26">
        <f t="shared" si="0"/>
        <v>156.80769230769229</v>
      </c>
      <c r="D26" s="102">
        <f>IF('Separated method'!J60*'Separated method'!D60/A26&gt;0.1,'Separated method'!J60*'Separated method'!D60,0)</f>
        <v>0</v>
      </c>
    </row>
    <row r="27" spans="1:5" x14ac:dyDescent="0.25">
      <c r="A27" s="105">
        <f>'Separated method'!F61*'Separated method'!D61</f>
        <v>72.692307692307693</v>
      </c>
      <c r="B27" s="102">
        <f>'Separated method'!D61*'Separated method'!G61</f>
        <v>279.3</v>
      </c>
      <c r="C27">
        <f t="shared" si="0"/>
        <v>72.692307692307693</v>
      </c>
      <c r="D27" s="102">
        <f>IF('Separated method'!J61*'Separated method'!D61/A27&gt;0.1,'Separated method'!J61*'Separated method'!D61,0)</f>
        <v>0</v>
      </c>
    </row>
    <row r="28" spans="1:5" x14ac:dyDescent="0.25">
      <c r="A28" s="106">
        <f>'Separated method'!F62*'Separated method'!D62</f>
        <v>25.615384615384613</v>
      </c>
      <c r="B28" s="107">
        <f>'Separated method'!D62*'Separated method'!G62</f>
        <v>202.76000000000002</v>
      </c>
      <c r="C28" s="108">
        <f>IF(B28&gt;A28,A28,IF(B28/A28&gt;=0.9,A28,B28))</f>
        <v>25.615384615384613</v>
      </c>
      <c r="D28" s="107">
        <f>IF('Separated method'!J62*'Separated method'!D62/A28&gt;0.1,'Separated method'!J62*'Separated method'!D62,0)</f>
        <v>0</v>
      </c>
    </row>
    <row r="29" spans="1:5" x14ac:dyDescent="0.25">
      <c r="A29" s="102">
        <f>SUM(A3:A28)</f>
        <v>18590.538461538457</v>
      </c>
      <c r="C29">
        <f>SUM(C3:C28)</f>
        <v>13671.118974358975</v>
      </c>
      <c r="D29" s="102">
        <f>SUM(D3:D28)</f>
        <v>4919.4194871794871</v>
      </c>
      <c r="E29" s="102"/>
    </row>
    <row r="31" spans="1:5" x14ac:dyDescent="0.25">
      <c r="B31" s="51" t="s">
        <v>146</v>
      </c>
      <c r="C31">
        <f>C29/A29</f>
        <v>0.73538047338665535</v>
      </c>
      <c r="D31">
        <f>D29/A29</f>
        <v>0.26461952661334487</v>
      </c>
    </row>
    <row r="32" spans="1:5" x14ac:dyDescent="0.25">
      <c r="D32">
        <f>C31+D31</f>
        <v>1.0000000000000002</v>
      </c>
    </row>
  </sheetData>
  <mergeCells count="1">
    <mergeCell ref="A1:D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3"/>
  <dimension ref="A1:AKI74"/>
  <sheetViews>
    <sheetView showGridLines="0" zoomScale="68" zoomScaleNormal="68" workbookViewId="0">
      <selection activeCell="O22" sqref="O22"/>
    </sheetView>
  </sheetViews>
  <sheetFormatPr baseColWidth="10" defaultColWidth="11.44140625" defaultRowHeight="16.2" x14ac:dyDescent="0.25"/>
  <cols>
    <col min="1" max="1" width="29.5546875" style="1" customWidth="1"/>
    <col min="2" max="2" width="25" style="1" customWidth="1"/>
    <col min="3" max="3" width="13.88671875" style="1" customWidth="1"/>
    <col min="4" max="4" width="19.88671875" style="1" customWidth="1"/>
    <col min="5" max="5" width="17.44140625" style="1" customWidth="1"/>
    <col min="6" max="6" width="19.88671875" style="1" customWidth="1"/>
    <col min="7" max="7" width="13.109375" style="1" bestFit="1" customWidth="1"/>
    <col min="8" max="8" width="13.109375" style="1" customWidth="1"/>
    <col min="9" max="9" width="20.88671875" style="1" customWidth="1"/>
    <col min="10" max="11" width="15.109375" style="1" customWidth="1"/>
    <col min="12" max="15" width="14.88671875" style="1" bestFit="1" customWidth="1"/>
    <col min="16" max="17" width="13.5546875" style="1" bestFit="1" customWidth="1"/>
    <col min="18" max="18" width="17.33203125" style="1" customWidth="1"/>
    <col min="19" max="20" width="11.44140625" style="1"/>
    <col min="21" max="21" width="15.33203125" style="1" bestFit="1" customWidth="1"/>
    <col min="22" max="16384" width="11.44140625" style="1"/>
  </cols>
  <sheetData>
    <row r="1" spans="1:971" ht="18" x14ac:dyDescent="0.25">
      <c r="A1" s="94" t="s">
        <v>124</v>
      </c>
      <c r="H1" s="10"/>
      <c r="P1" s="125" t="s">
        <v>99</v>
      </c>
      <c r="Q1" s="125"/>
      <c r="R1" s="125"/>
      <c r="S1" s="125"/>
      <c r="T1" s="125"/>
      <c r="U1" s="100">
        <v>1010.72</v>
      </c>
    </row>
    <row r="2" spans="1:971" ht="28.2" x14ac:dyDescent="0.7">
      <c r="A2" s="95" t="s">
        <v>125</v>
      </c>
      <c r="P2" s="126" t="s">
        <v>100</v>
      </c>
      <c r="Q2" s="126"/>
      <c r="R2" s="126"/>
      <c r="S2" s="126"/>
      <c r="T2" s="126"/>
      <c r="U2" s="69">
        <v>37.78</v>
      </c>
    </row>
    <row r="3" spans="1:971" ht="20.399999999999999" customHeight="1" x14ac:dyDescent="0.25">
      <c r="A3" s="120" t="s">
        <v>40</v>
      </c>
      <c r="B3" s="120"/>
      <c r="D3" s="121" t="s">
        <v>3</v>
      </c>
      <c r="E3" s="122"/>
      <c r="F3" s="123"/>
      <c r="S3" s="25"/>
      <c r="T3" s="25"/>
      <c r="U3" s="25"/>
    </row>
    <row r="4" spans="1:971" ht="20.399999999999999" customHeight="1" x14ac:dyDescent="0.25">
      <c r="A4" s="16" t="s">
        <v>39</v>
      </c>
      <c r="B4" s="2"/>
      <c r="D4" s="16" t="s">
        <v>18</v>
      </c>
      <c r="E4" s="12" t="s">
        <v>19</v>
      </c>
      <c r="F4" s="15"/>
      <c r="S4" s="25"/>
      <c r="T4" s="25"/>
      <c r="U4" s="25"/>
    </row>
    <row r="5" spans="1:971" ht="20.399999999999999" customHeight="1" x14ac:dyDescent="0.25">
      <c r="A5" s="16" t="s">
        <v>40</v>
      </c>
      <c r="B5" s="2"/>
      <c r="D5" s="16" t="s">
        <v>25</v>
      </c>
      <c r="E5" s="13">
        <v>-10</v>
      </c>
      <c r="F5" s="15" t="s">
        <v>4</v>
      </c>
      <c r="S5" s="25"/>
      <c r="T5" s="25"/>
      <c r="U5" s="25"/>
    </row>
    <row r="6" spans="1:971" ht="20.399999999999999" customHeight="1" x14ac:dyDescent="0.25">
      <c r="A6" s="16" t="s">
        <v>35</v>
      </c>
      <c r="B6" s="19" t="s">
        <v>38</v>
      </c>
      <c r="D6" s="15" t="s">
        <v>26</v>
      </c>
      <c r="E6" s="20">
        <v>8.1300000000000008</v>
      </c>
      <c r="F6" s="15" t="s">
        <v>49</v>
      </c>
      <c r="S6" s="25"/>
      <c r="T6" s="25"/>
      <c r="U6" s="25"/>
    </row>
    <row r="7" spans="1:971" ht="20.399999999999999" customHeight="1" x14ac:dyDescent="0.25">
      <c r="A7" s="16" t="s">
        <v>48</v>
      </c>
      <c r="B7" s="19" t="s">
        <v>41</v>
      </c>
      <c r="D7" s="15" t="s">
        <v>111</v>
      </c>
      <c r="E7" s="20">
        <v>1</v>
      </c>
      <c r="F7" s="16" t="s">
        <v>4</v>
      </c>
      <c r="P7" s="127" t="s">
        <v>130</v>
      </c>
      <c r="Q7" s="127"/>
      <c r="R7" s="127"/>
      <c r="S7" s="127"/>
      <c r="T7" s="127"/>
      <c r="U7" s="55">
        <f>SUM(O37:O62)</f>
        <v>1397.452523527209</v>
      </c>
    </row>
    <row r="8" spans="1:971" ht="20.399999999999999" customHeight="1" x14ac:dyDescent="0.25">
      <c r="A8" s="16" t="s">
        <v>30</v>
      </c>
      <c r="B8" s="2" t="s">
        <v>32</v>
      </c>
      <c r="D8" s="15" t="s">
        <v>112</v>
      </c>
      <c r="E8" s="20">
        <v>-7</v>
      </c>
      <c r="F8" s="15" t="s">
        <v>4</v>
      </c>
      <c r="H8" s="121" t="s">
        <v>55</v>
      </c>
      <c r="I8" s="122"/>
      <c r="J8" s="122"/>
      <c r="K8" s="123"/>
      <c r="P8" s="127" t="s">
        <v>131</v>
      </c>
      <c r="Q8" s="127"/>
      <c r="R8" s="127"/>
      <c r="S8" s="127"/>
      <c r="T8" s="127"/>
      <c r="U8" s="55">
        <f>SUM(N37:N62)</f>
        <v>5442.0245939493125</v>
      </c>
    </row>
    <row r="9" spans="1:971" ht="20.399999999999999" customHeight="1" x14ac:dyDescent="0.25">
      <c r="A9" s="16" t="s">
        <v>31</v>
      </c>
      <c r="B9" s="2" t="s">
        <v>33</v>
      </c>
      <c r="D9" s="16" t="s">
        <v>51</v>
      </c>
      <c r="E9" s="14">
        <v>2066</v>
      </c>
      <c r="F9" s="16" t="s">
        <v>24</v>
      </c>
      <c r="H9" s="14" t="s">
        <v>21</v>
      </c>
      <c r="I9" s="14" t="s">
        <v>22</v>
      </c>
      <c r="J9" s="27" t="s">
        <v>74</v>
      </c>
      <c r="K9" s="14" t="s">
        <v>50</v>
      </c>
      <c r="P9" s="128" t="s">
        <v>132</v>
      </c>
      <c r="Q9" s="128"/>
      <c r="R9" s="128"/>
      <c r="S9" s="128"/>
      <c r="T9" s="128"/>
      <c r="U9" s="55">
        <f>U7+U8</f>
        <v>6839.477117476521</v>
      </c>
    </row>
    <row r="10" spans="1:971" ht="20.399999999999999" customHeight="1" x14ac:dyDescent="0.25">
      <c r="A10" s="16" t="s">
        <v>29</v>
      </c>
      <c r="B10" s="2" t="s">
        <v>32</v>
      </c>
      <c r="D10" s="15" t="s">
        <v>52</v>
      </c>
      <c r="E10" s="5">
        <f>E6*E9</f>
        <v>16796.580000000002</v>
      </c>
      <c r="F10" s="15" t="s">
        <v>16</v>
      </c>
      <c r="H10" s="58">
        <f>I63/K63</f>
        <v>3.1469549933170589</v>
      </c>
      <c r="I10" s="58">
        <f>E10/K10</f>
        <v>3.1199490626567128</v>
      </c>
      <c r="J10" s="60">
        <f>I10/2.5*100-3</f>
        <v>121.7979625062685</v>
      </c>
      <c r="K10" s="61">
        <f>(E10/H10)+(D25+D26+D27+D28)</f>
        <v>5383.607123924422</v>
      </c>
    </row>
    <row r="11" spans="1:971" ht="20.399999999999999" customHeight="1" x14ac:dyDescent="0.25">
      <c r="A11" s="16" t="s">
        <v>36</v>
      </c>
      <c r="B11" s="2" t="s">
        <v>32</v>
      </c>
      <c r="D11" s="28"/>
      <c r="E11" s="31"/>
      <c r="F11" s="28"/>
      <c r="H11" s="43"/>
      <c r="I11" s="44"/>
      <c r="J11" s="6"/>
    </row>
    <row r="12" spans="1:971" s="34" customFormat="1" ht="21" customHeight="1" x14ac:dyDescent="0.25">
      <c r="D12" s="37"/>
      <c r="E12" s="36"/>
      <c r="F12" s="35"/>
    </row>
    <row r="13" spans="1:971" ht="21" customHeight="1" x14ac:dyDescent="0.25">
      <c r="A13" s="29" t="s">
        <v>0</v>
      </c>
      <c r="B13" s="30"/>
      <c r="C13" s="30"/>
      <c r="D13" s="30"/>
      <c r="E13" s="30"/>
      <c r="F13" s="30"/>
      <c r="G13" s="30"/>
      <c r="H13" s="30"/>
      <c r="I13" s="112"/>
      <c r="J13" s="112"/>
      <c r="K13" s="112"/>
    </row>
    <row r="14" spans="1:971" ht="63" customHeight="1" x14ac:dyDescent="0.25">
      <c r="A14" s="15" t="s">
        <v>1</v>
      </c>
      <c r="B14" s="15" t="s">
        <v>2</v>
      </c>
      <c r="C14" s="15" t="s">
        <v>47</v>
      </c>
      <c r="D14" s="15" t="s">
        <v>46</v>
      </c>
      <c r="E14" s="15" t="s">
        <v>34</v>
      </c>
      <c r="F14" s="15" t="s">
        <v>56</v>
      </c>
      <c r="G14" s="15" t="s">
        <v>27</v>
      </c>
      <c r="H14" s="15" t="s">
        <v>5</v>
      </c>
      <c r="I14" s="15" t="s">
        <v>37</v>
      </c>
      <c r="J14" s="3" t="s">
        <v>94</v>
      </c>
      <c r="K14" s="3" t="s">
        <v>95</v>
      </c>
    </row>
    <row r="15" spans="1:971" s="8" customFormat="1" ht="21" customHeight="1" x14ac:dyDescent="0.25">
      <c r="A15" s="14" t="s">
        <v>6</v>
      </c>
      <c r="B15" s="14">
        <v>-7</v>
      </c>
      <c r="C15" s="21">
        <f>(B15-16)/(-10-16)*100</f>
        <v>88.461538461538453</v>
      </c>
      <c r="D15" s="7">
        <f>C15*$E$6/100</f>
        <v>7.1919230769230778</v>
      </c>
      <c r="E15" s="22">
        <v>7.4009782802529624</v>
      </c>
      <c r="F15" s="22">
        <v>2.0536906848313672</v>
      </c>
      <c r="G15" s="22">
        <f>'Separated method'!H17</f>
        <v>0.9</v>
      </c>
      <c r="H15" s="7">
        <f>IF(D15/E15&gt;0.9,1,D15/E15)</f>
        <v>1</v>
      </c>
      <c r="I15" s="67">
        <f>F15*H15/(G15*H15+(1-G15))</f>
        <v>2.0536906848313672</v>
      </c>
      <c r="J15" s="52">
        <v>2.4280433089279621</v>
      </c>
      <c r="K15" s="20">
        <v>2.9392551324479741</v>
      </c>
      <c r="AKI15" s="8">
        <v>9.5500000000000007</v>
      </c>
    </row>
    <row r="16" spans="1:971" s="8" customFormat="1" ht="21" customHeight="1" x14ac:dyDescent="0.25">
      <c r="A16" s="14" t="s">
        <v>7</v>
      </c>
      <c r="B16" s="14">
        <v>2</v>
      </c>
      <c r="C16" s="21">
        <f t="shared" ref="C16:C21" si="0">(B16-16)/(-10-16)*100</f>
        <v>53.846153846153847</v>
      </c>
      <c r="D16" s="7">
        <f t="shared" ref="D16:D21" si="1">C16*$E$6/100</f>
        <v>4.3776923076923087</v>
      </c>
      <c r="E16" s="22">
        <v>4.5999999999999996</v>
      </c>
      <c r="F16" s="22">
        <v>2.7380952380952381</v>
      </c>
      <c r="G16" s="22">
        <f>'Separated method'!H18</f>
        <v>0.9</v>
      </c>
      <c r="H16" s="7">
        <f t="shared" ref="H16:H21" si="2">IF(D16/E16&gt;0.9,1,D16/E16)</f>
        <v>1</v>
      </c>
      <c r="I16" s="67">
        <f>F16*H16/(G16*H16+(1-G16))</f>
        <v>2.7380952380952381</v>
      </c>
      <c r="J16" s="52">
        <v>1.68</v>
      </c>
      <c r="K16" s="22">
        <v>0</v>
      </c>
      <c r="AKI16" s="24">
        <v>11.17</v>
      </c>
    </row>
    <row r="17" spans="1:971" s="8" customFormat="1" ht="21" customHeight="1" x14ac:dyDescent="0.25">
      <c r="A17" s="14" t="s">
        <v>8</v>
      </c>
      <c r="B17" s="14">
        <v>7</v>
      </c>
      <c r="C17" s="21">
        <f t="shared" si="0"/>
        <v>34.615384615384613</v>
      </c>
      <c r="D17" s="7">
        <f t="shared" si="1"/>
        <v>2.8142307692307691</v>
      </c>
      <c r="E17" s="22">
        <v>2.9735631299036109</v>
      </c>
      <c r="F17" s="22">
        <v>4.7594967926113139</v>
      </c>
      <c r="G17" s="22">
        <f>'Separated method'!H19</f>
        <v>0.9</v>
      </c>
      <c r="H17" s="7">
        <f t="shared" si="2"/>
        <v>1</v>
      </c>
      <c r="I17" s="67">
        <f t="shared" ref="I17:I21" si="3">F17*H17/(G17*H17+(1-G17))</f>
        <v>4.7594967926113139</v>
      </c>
      <c r="J17" s="52">
        <v>0.62476418400361089</v>
      </c>
      <c r="K17" s="22">
        <v>0</v>
      </c>
      <c r="AKI17" s="24">
        <v>12.66</v>
      </c>
    </row>
    <row r="18" spans="1:971" ht="21" customHeight="1" x14ac:dyDescent="0.25">
      <c r="A18" s="14" t="s">
        <v>9</v>
      </c>
      <c r="B18" s="14">
        <v>12</v>
      </c>
      <c r="C18" s="21">
        <f t="shared" si="0"/>
        <v>15.384615384615385</v>
      </c>
      <c r="D18" s="7">
        <f t="shared" si="1"/>
        <v>1.2507692307692309</v>
      </c>
      <c r="E18" s="22">
        <v>2.6390000490221199</v>
      </c>
      <c r="F18" s="22">
        <v>6.4632975181177841</v>
      </c>
      <c r="G18" s="22">
        <f>'Separated method'!H20</f>
        <v>0.9</v>
      </c>
      <c r="H18" s="7">
        <f>IF(D18/E18&gt;0.9,1,D18/E18)</f>
        <v>0.47395574366612941</v>
      </c>
      <c r="I18" s="67">
        <f t="shared" si="3"/>
        <v>5.8176010270774885</v>
      </c>
      <c r="J18" s="53">
        <v>0.40830551922211977</v>
      </c>
      <c r="K18" s="22">
        <v>0</v>
      </c>
      <c r="AKI18" s="26">
        <v>14.3</v>
      </c>
    </row>
    <row r="19" spans="1:971" s="8" customFormat="1" ht="21" customHeight="1" x14ac:dyDescent="0.25">
      <c r="A19" s="14" t="s">
        <v>114</v>
      </c>
      <c r="B19" s="8">
        <f>E7</f>
        <v>1</v>
      </c>
      <c r="C19" s="21">
        <f t="shared" si="0"/>
        <v>57.692307692307686</v>
      </c>
      <c r="D19" s="7">
        <f t="shared" si="1"/>
        <v>4.6903846153846152</v>
      </c>
      <c r="E19" s="22">
        <v>4.82132709928125</v>
      </c>
      <c r="F19" s="22">
        <v>2.4439976236402541</v>
      </c>
      <c r="G19" s="22">
        <f>'Separated method'!H21</f>
        <v>0.9</v>
      </c>
      <c r="H19" s="7">
        <f t="shared" si="2"/>
        <v>1</v>
      </c>
      <c r="I19" s="67">
        <f>F19*H19/(G19*H19+(1-G19))</f>
        <v>2.4439976236402541</v>
      </c>
      <c r="J19" s="52">
        <v>1.9727216805145833</v>
      </c>
      <c r="K19" s="22">
        <v>0</v>
      </c>
      <c r="AKI19" s="8">
        <v>9.6969230769230776</v>
      </c>
    </row>
    <row r="20" spans="1:971" s="8" customFormat="1" ht="21" customHeight="1" x14ac:dyDescent="0.25">
      <c r="A20" s="14" t="s">
        <v>113</v>
      </c>
      <c r="B20" s="4">
        <f>E8</f>
        <v>-7</v>
      </c>
      <c r="C20" s="21">
        <f t="shared" si="0"/>
        <v>88.461538461538453</v>
      </c>
      <c r="D20" s="7">
        <f t="shared" si="1"/>
        <v>7.1919230769230778</v>
      </c>
      <c r="E20" s="22">
        <v>7.4009782802529624</v>
      </c>
      <c r="F20" s="22">
        <v>2.0536906848313672</v>
      </c>
      <c r="G20" s="22">
        <f>'Separated method'!H22</f>
        <v>0.9</v>
      </c>
      <c r="H20" s="7">
        <f t="shared" si="2"/>
        <v>1</v>
      </c>
      <c r="I20" s="67">
        <f t="shared" si="3"/>
        <v>2.0536906848313672</v>
      </c>
      <c r="J20" s="52">
        <v>2.4280433089279621</v>
      </c>
      <c r="K20" s="22">
        <v>2.9392551324479741</v>
      </c>
      <c r="AKI20" s="24"/>
    </row>
    <row r="21" spans="1:971" s="8" customFormat="1" ht="21" customHeight="1" x14ac:dyDescent="0.25">
      <c r="A21" s="14" t="s">
        <v>25</v>
      </c>
      <c r="B21" s="4">
        <f>E5</f>
        <v>-10</v>
      </c>
      <c r="C21" s="21">
        <f t="shared" si="0"/>
        <v>100</v>
      </c>
      <c r="D21" s="7">
        <f t="shared" si="1"/>
        <v>8.1300000000000008</v>
      </c>
      <c r="E21" s="22">
        <v>8.3589466325149875</v>
      </c>
      <c r="F21" s="22">
        <v>2.2530953852213123</v>
      </c>
      <c r="G21" s="22">
        <f>'Separated method'!H23</f>
        <v>0</v>
      </c>
      <c r="H21" s="7">
        <f t="shared" si="2"/>
        <v>1</v>
      </c>
      <c r="I21" s="67">
        <f t="shared" si="3"/>
        <v>2.2530953852213123</v>
      </c>
      <c r="J21" s="52">
        <v>4.5420095348320901E-2</v>
      </c>
      <c r="K21" s="22">
        <v>9.1614084333122463</v>
      </c>
      <c r="AKI21" s="24"/>
    </row>
    <row r="22" spans="1:971" s="8" customFormat="1" ht="21" customHeight="1" x14ac:dyDescent="0.25">
      <c r="A22" s="18"/>
      <c r="B22" s="1"/>
      <c r="C22" s="38"/>
      <c r="D22" s="25"/>
      <c r="E22" s="9"/>
      <c r="F22" s="9"/>
      <c r="G22" s="9"/>
      <c r="H22" s="25"/>
      <c r="I22" s="25"/>
      <c r="J22" s="23"/>
      <c r="K22" s="9"/>
      <c r="AKI22" s="24"/>
    </row>
    <row r="23" spans="1:971" ht="21" customHeight="1" x14ac:dyDescent="0.25">
      <c r="A23" s="29" t="s">
        <v>58</v>
      </c>
      <c r="B23" s="30"/>
      <c r="C23" s="30"/>
      <c r="D23" s="91"/>
      <c r="E23" s="18"/>
      <c r="F23" s="18"/>
      <c r="G23" s="18"/>
      <c r="H23" s="18"/>
      <c r="I23" s="18"/>
      <c r="J23" s="18"/>
      <c r="K23" s="18"/>
    </row>
    <row r="24" spans="1:971" ht="40.35" customHeight="1" x14ac:dyDescent="0.25">
      <c r="A24" s="28"/>
      <c r="B24" s="15" t="s">
        <v>23</v>
      </c>
      <c r="C24" s="15" t="s">
        <v>28</v>
      </c>
      <c r="D24" s="15" t="s">
        <v>54</v>
      </c>
      <c r="E24" s="17"/>
      <c r="F24" s="28"/>
      <c r="G24" s="28"/>
      <c r="H24" s="28"/>
      <c r="I24" s="28"/>
      <c r="J24" s="17"/>
      <c r="K24" s="32"/>
    </row>
    <row r="25" spans="1:971" ht="21" customHeight="1" x14ac:dyDescent="0.25">
      <c r="A25" s="16" t="s">
        <v>115</v>
      </c>
      <c r="B25" s="14">
        <v>178</v>
      </c>
      <c r="C25" s="19">
        <f>'Separated method'!C27</f>
        <v>12</v>
      </c>
      <c r="D25" s="7">
        <f>B25*C25/1000</f>
        <v>2.1360000000000001</v>
      </c>
      <c r="F25" s="17"/>
      <c r="G25" s="18"/>
      <c r="I25" s="25"/>
      <c r="K25" s="32"/>
    </row>
    <row r="26" spans="1:971" ht="21" customHeight="1" x14ac:dyDescent="0.25">
      <c r="A26" s="16" t="s">
        <v>116</v>
      </c>
      <c r="B26" s="14">
        <v>0</v>
      </c>
      <c r="C26" s="19">
        <f>'Separated method'!C28</f>
        <v>12</v>
      </c>
      <c r="D26" s="7">
        <f t="shared" ref="D26:D28" si="4">B26*C26/1000</f>
        <v>0</v>
      </c>
      <c r="E26" s="8"/>
      <c r="F26" s="17"/>
      <c r="G26" s="18"/>
      <c r="I26" s="25"/>
      <c r="K26" s="32"/>
    </row>
    <row r="27" spans="1:971" ht="21" customHeight="1" x14ac:dyDescent="0.25">
      <c r="A27" s="16" t="s">
        <v>115</v>
      </c>
      <c r="B27" s="14">
        <v>3672</v>
      </c>
      <c r="C27" s="19">
        <f>'Separated method'!C29</f>
        <v>12</v>
      </c>
      <c r="D27" s="7">
        <f t="shared" si="4"/>
        <v>44.064</v>
      </c>
      <c r="F27" s="17"/>
      <c r="G27" s="18"/>
      <c r="I27" s="25"/>
      <c r="K27" s="32"/>
    </row>
    <row r="28" spans="1:971" s="8" customFormat="1" ht="21" customHeight="1" x14ac:dyDescent="0.25">
      <c r="A28" s="16" t="s">
        <v>117</v>
      </c>
      <c r="B28" s="14">
        <v>3850</v>
      </c>
      <c r="C28" s="19">
        <f>'Separated method'!C30</f>
        <v>0</v>
      </c>
      <c r="D28" s="7">
        <f t="shared" si="4"/>
        <v>0</v>
      </c>
      <c r="E28" s="1"/>
      <c r="F28" s="17"/>
      <c r="G28" s="18"/>
      <c r="H28" s="1"/>
      <c r="I28" s="25"/>
      <c r="K28" s="33"/>
    </row>
    <row r="29" spans="1:971" s="8" customFormat="1" ht="21" customHeight="1" x14ac:dyDescent="0.25">
      <c r="A29" s="17"/>
      <c r="B29" s="18"/>
      <c r="C29" s="1"/>
      <c r="D29" s="25"/>
      <c r="E29" s="1"/>
      <c r="F29" s="17"/>
      <c r="G29" s="18"/>
      <c r="H29" s="1"/>
      <c r="I29" s="25"/>
      <c r="K29" s="33"/>
    </row>
    <row r="30" spans="1:971" s="8" customFormat="1" ht="21" customHeight="1" x14ac:dyDescent="0.25">
      <c r="A30" s="17"/>
      <c r="B30" s="18"/>
      <c r="C30" s="1"/>
      <c r="D30" s="25"/>
      <c r="E30" s="1"/>
      <c r="F30" s="17"/>
      <c r="G30" s="18"/>
      <c r="H30" s="1"/>
      <c r="I30" s="25"/>
      <c r="K30" s="33"/>
    </row>
    <row r="31" spans="1:971" s="8" customFormat="1" ht="21" customHeight="1" x14ac:dyDescent="0.25">
      <c r="A31" s="17"/>
      <c r="B31" s="18"/>
      <c r="C31" s="1"/>
      <c r="D31" s="25"/>
      <c r="E31" s="1"/>
      <c r="F31" s="17"/>
      <c r="G31" s="18"/>
      <c r="H31" s="1"/>
      <c r="I31" s="25"/>
      <c r="K31" s="33"/>
    </row>
    <row r="32" spans="1:971" s="34" customFormat="1" ht="21" customHeight="1" x14ac:dyDescent="0.25">
      <c r="A32" s="40"/>
    </row>
    <row r="33" spans="1:33" ht="21" customHeight="1" x14ac:dyDescent="0.25">
      <c r="A33" s="111" t="s">
        <v>59</v>
      </c>
      <c r="B33" s="112"/>
      <c r="C33" s="112"/>
      <c r="D33" s="112"/>
      <c r="E33" s="112"/>
      <c r="F33" s="112"/>
      <c r="G33" s="112"/>
      <c r="H33" s="112"/>
      <c r="I33" s="112"/>
      <c r="J33" s="112"/>
      <c r="K33" s="112"/>
      <c r="L33" s="112"/>
      <c r="M33" s="112"/>
      <c r="N33" s="112"/>
      <c r="O33" s="112"/>
      <c r="P33" s="112"/>
      <c r="Q33" s="112"/>
    </row>
    <row r="34" spans="1:33" s="8" customFormat="1" ht="63" customHeight="1" x14ac:dyDescent="0.3">
      <c r="A34" s="133"/>
      <c r="B34" s="15" t="s">
        <v>11</v>
      </c>
      <c r="C34" s="15" t="s">
        <v>42</v>
      </c>
      <c r="D34" s="15" t="s">
        <v>13</v>
      </c>
      <c r="E34" s="15" t="s">
        <v>17</v>
      </c>
      <c r="F34" s="15" t="s">
        <v>43</v>
      </c>
      <c r="G34" s="135" t="s">
        <v>64</v>
      </c>
      <c r="H34" s="136"/>
      <c r="I34" s="15" t="s">
        <v>20</v>
      </c>
      <c r="J34" s="137" t="s">
        <v>60</v>
      </c>
      <c r="K34" s="138"/>
      <c r="W34" s="84" t="s">
        <v>75</v>
      </c>
      <c r="X34" s="84"/>
      <c r="Y34" s="84"/>
      <c r="Z34" s="84"/>
      <c r="AA34" s="84" t="s">
        <v>76</v>
      </c>
      <c r="AB34" s="84"/>
      <c r="AC34" s="84"/>
      <c r="AD34" s="85"/>
      <c r="AE34" s="85"/>
      <c r="AF34" s="85"/>
      <c r="AG34" s="85"/>
    </row>
    <row r="35" spans="1:33" s="8" customFormat="1" ht="63" customHeight="1" x14ac:dyDescent="0.3">
      <c r="A35" s="134"/>
      <c r="B35" s="15" t="s">
        <v>10</v>
      </c>
      <c r="C35" s="15" t="s">
        <v>12</v>
      </c>
      <c r="D35" s="15" t="s">
        <v>14</v>
      </c>
      <c r="E35" s="15" t="s">
        <v>57</v>
      </c>
      <c r="F35" s="15" t="s">
        <v>44</v>
      </c>
      <c r="G35" s="15" t="s">
        <v>63</v>
      </c>
      <c r="H35" s="15" t="s">
        <v>53</v>
      </c>
      <c r="I35" s="15" t="s">
        <v>45</v>
      </c>
      <c r="J35" s="39" t="s">
        <v>72</v>
      </c>
      <c r="K35" s="39" t="s">
        <v>73</v>
      </c>
      <c r="L35" s="3" t="s">
        <v>97</v>
      </c>
      <c r="M35" s="3" t="s">
        <v>139</v>
      </c>
      <c r="N35" s="3" t="s">
        <v>98</v>
      </c>
      <c r="O35" s="3" t="s">
        <v>136</v>
      </c>
      <c r="P35" s="3" t="s">
        <v>137</v>
      </c>
      <c r="Q35" s="3" t="s">
        <v>138</v>
      </c>
      <c r="W35" s="86" t="s">
        <v>77</v>
      </c>
      <c r="X35" s="86" t="s">
        <v>78</v>
      </c>
      <c r="Y35" s="86" t="s">
        <v>79</v>
      </c>
      <c r="Z35" s="86" t="s">
        <v>80</v>
      </c>
      <c r="AA35" s="86" t="s">
        <v>80</v>
      </c>
      <c r="AB35" s="86" t="s">
        <v>83</v>
      </c>
      <c r="AC35" s="86"/>
      <c r="AD35" s="85"/>
      <c r="AE35" s="85"/>
      <c r="AF35" s="85"/>
      <c r="AG35" s="85"/>
    </row>
    <row r="36" spans="1:33" s="8" customFormat="1" ht="23.1" customHeight="1" x14ac:dyDescent="0.3">
      <c r="A36" s="70"/>
      <c r="B36" s="70" t="s">
        <v>15</v>
      </c>
      <c r="C36" s="70" t="s">
        <v>4</v>
      </c>
      <c r="D36" s="70" t="s">
        <v>15</v>
      </c>
      <c r="E36" s="70"/>
      <c r="F36" s="70"/>
      <c r="G36" s="70"/>
      <c r="H36" s="70"/>
      <c r="I36" s="70"/>
      <c r="J36" s="70"/>
      <c r="K36" s="70"/>
      <c r="L36" s="71"/>
      <c r="M36" s="71"/>
      <c r="N36" s="63"/>
      <c r="O36" s="63"/>
      <c r="P36" s="63"/>
      <c r="Q36" s="63"/>
      <c r="W36" s="84">
        <f t="shared" ref="W36:W62" si="5">IF(A36="",0,1)</f>
        <v>0</v>
      </c>
      <c r="X36" s="84">
        <v>0</v>
      </c>
      <c r="Y36" s="84"/>
      <c r="Z36" s="84"/>
      <c r="AA36" s="84"/>
      <c r="AB36" s="84"/>
      <c r="AC36" s="84"/>
      <c r="AD36" s="85"/>
      <c r="AE36" s="85"/>
      <c r="AF36" s="85"/>
      <c r="AG36" s="85"/>
    </row>
    <row r="37" spans="1:33" s="42" customFormat="1" ht="20.100000000000001" customHeight="1" x14ac:dyDescent="0.3">
      <c r="A37" s="72" t="s">
        <v>82</v>
      </c>
      <c r="B37" s="73">
        <v>21</v>
      </c>
      <c r="C37" s="73">
        <v>-10</v>
      </c>
      <c r="D37" s="73">
        <v>1</v>
      </c>
      <c r="E37" s="62">
        <f>(C37-16)/(E$5-16)*100</f>
        <v>100</v>
      </c>
      <c r="F37" s="62">
        <f>E37*$E$6/100</f>
        <v>8.1300000000000008</v>
      </c>
      <c r="G37" s="62">
        <f>IF($C37&lt;$E$8,0,IF($C37=$E$7,E$19,IF($C37=$E$8,E$20,IF($W37=1,$Z37,($C37-$X37)/($Y37-$X37)*($AA37-$Z37)+$Z37))))</f>
        <v>0</v>
      </c>
      <c r="H37" s="62">
        <f>I15</f>
        <v>2.0536906848313672</v>
      </c>
      <c r="I37" s="74">
        <f>D37*F37</f>
        <v>8.1300000000000008</v>
      </c>
      <c r="J37" s="62">
        <f>F37/H37</f>
        <v>3.9587266281375628</v>
      </c>
      <c r="K37" s="62">
        <f>D37*J37</f>
        <v>3.9587266281375628</v>
      </c>
      <c r="L37" s="62">
        <f>J21</f>
        <v>4.5420095348320901E-2</v>
      </c>
      <c r="M37" s="62">
        <f>K20</f>
        <v>2.9392551324479741</v>
      </c>
      <c r="N37" s="63">
        <f>L37*D37</f>
        <v>4.5420095348320901E-2</v>
      </c>
      <c r="O37" s="63">
        <f>M37*D37</f>
        <v>2.9392551324479741</v>
      </c>
      <c r="P37" s="63">
        <f t="shared" ref="P37:P62" si="6">M37*3.6*1013.25*(273.15+15)/(U$2*(U$1)*288.15)</f>
        <v>0.28077832911837497</v>
      </c>
      <c r="Q37" s="63">
        <f>P37*D37</f>
        <v>0.28077832911837497</v>
      </c>
      <c r="W37" s="84">
        <f t="shared" si="5"/>
        <v>1</v>
      </c>
      <c r="X37" s="84">
        <f t="shared" ref="X37:X59" si="7">IF(W37=0,X36,C37)</f>
        <v>-10</v>
      </c>
      <c r="Y37" s="84">
        <f t="shared" ref="Y37:Y61" si="8">IF(W37=0,Y38,C37)</f>
        <v>-10</v>
      </c>
      <c r="Z37" s="90">
        <f>VLOOKUP(X37,$B$15:$H$21,4,FALSE)</f>
        <v>8.3589466325149875</v>
      </c>
      <c r="AA37" s="90">
        <f>VLOOKUP(Y37,$B$15:$H$21,4,FALSE)</f>
        <v>8.3589466325149875</v>
      </c>
      <c r="AB37" s="84">
        <f>VLOOKUP(X37,$B$15:$H$21,5,FALSE)</f>
        <v>2.2530953852213123</v>
      </c>
      <c r="AC37" s="84"/>
      <c r="AD37" s="85"/>
      <c r="AE37" s="85"/>
      <c r="AF37" s="85"/>
      <c r="AG37" s="85"/>
    </row>
    <row r="38" spans="1:33" s="8" customFormat="1" ht="20.100000000000001" customHeight="1" x14ac:dyDescent="0.3">
      <c r="A38" s="72" t="str">
        <f>IF(OR($E$7="",$E$8=""),"",IF(AND(C38=$B$21,C38=$E$7),"E/F",IF(C38=$B$21,"E",IF(C38=$E$7,"F",""))))</f>
        <v/>
      </c>
      <c r="B38" s="73">
        <v>22</v>
      </c>
      <c r="C38" s="73">
        <v>-9</v>
      </c>
      <c r="D38" s="73">
        <v>25</v>
      </c>
      <c r="E38" s="62">
        <f t="shared" ref="E38:E62" si="9">(C38-16)/(E$5-16)*100</f>
        <v>96.15384615384616</v>
      </c>
      <c r="F38" s="62">
        <f t="shared" ref="F38:F62" si="10">E38*$E$6/100</f>
        <v>7.8173076923076943</v>
      </c>
      <c r="G38" s="62">
        <f t="shared" ref="G38:G39" si="11">IF($C38&lt;$E$8,0,IF($C38=$E$7,E$19,IF($C38=$E$8,E$20,IF($W38=1,$Z38,($C38-$X38)/($Y38-$X38)*($AA38-$Z38)+$Z38))))</f>
        <v>0</v>
      </c>
      <c r="H38" s="62">
        <f>$H$40-($C$40-C38)*($H$40-$H$37)/($C$40-$C$37)</f>
        <v>2.281825535919324</v>
      </c>
      <c r="I38" s="74">
        <f t="shared" ref="I38:I62" si="12">D38*F38</f>
        <v>195.43269230769235</v>
      </c>
      <c r="J38" s="62">
        <f>F38/H38</f>
        <v>3.4259006962853458</v>
      </c>
      <c r="K38" s="62">
        <f>D38*J38</f>
        <v>85.647517407133648</v>
      </c>
      <c r="L38" s="63">
        <f>$L$40-($C$40-C38)*($L$40-$L$37)/($C$40-$C$37)</f>
        <v>0.83962783320820122</v>
      </c>
      <c r="M38" s="63">
        <f>$M$40-($C$40-C38)*($M$40-$M$37)/($C$40-$C$37)</f>
        <v>2.9392551324479741</v>
      </c>
      <c r="N38" s="63">
        <f t="shared" ref="N38:N62" si="13">L38*D38</f>
        <v>20.990695830205031</v>
      </c>
      <c r="O38" s="63">
        <f t="shared" ref="O38:O62" si="14">M38*D38</f>
        <v>73.48137831119935</v>
      </c>
      <c r="P38" s="63">
        <f t="shared" si="6"/>
        <v>0.28077832911837497</v>
      </c>
      <c r="Q38" s="63">
        <f t="shared" ref="Q38:Q62" si="15">P38*D38</f>
        <v>7.0194582279593742</v>
      </c>
      <c r="W38" s="84">
        <f t="shared" si="5"/>
        <v>0</v>
      </c>
      <c r="X38" s="84">
        <f t="shared" si="7"/>
        <v>-10</v>
      </c>
      <c r="Y38" s="84">
        <f t="shared" si="8"/>
        <v>-7</v>
      </c>
      <c r="Z38" s="90">
        <f t="shared" ref="Z38:Z62" si="16">VLOOKUP(X38,$B$15:$H$21,4,FALSE)</f>
        <v>8.3589466325149875</v>
      </c>
      <c r="AA38" s="90">
        <f t="shared" ref="AA38:AA62" si="17">VLOOKUP(Y38,$B$15:$H$21,4,FALSE)</f>
        <v>7.4009782802529624</v>
      </c>
      <c r="AB38" s="84">
        <f t="shared" ref="AB38:AB62" si="18">VLOOKUP(X38,$B$15:$H$21,5,FALSE)</f>
        <v>2.2530953852213123</v>
      </c>
      <c r="AC38" s="84"/>
      <c r="AD38" s="85"/>
      <c r="AE38" s="85"/>
      <c r="AF38" s="85"/>
      <c r="AG38" s="85"/>
    </row>
    <row r="39" spans="1:33" s="8" customFormat="1" ht="20.100000000000001" customHeight="1" x14ac:dyDescent="0.3">
      <c r="A39" s="72" t="str">
        <f t="shared" ref="A39:A62" si="19">IF(OR($E$7="",$E$8=""),"",IF(AND(C39=$B$21,C39=$E$7),"E/F",IF(C39=$B$21,"E",IF(C39=$E$7,"F",""))))</f>
        <v/>
      </c>
      <c r="B39" s="73">
        <v>23</v>
      </c>
      <c r="C39" s="73">
        <v>-8</v>
      </c>
      <c r="D39" s="73">
        <v>23</v>
      </c>
      <c r="E39" s="62">
        <f t="shared" si="9"/>
        <v>92.307692307692307</v>
      </c>
      <c r="F39" s="62">
        <f t="shared" si="10"/>
        <v>7.504615384615386</v>
      </c>
      <c r="G39" s="62">
        <f t="shared" si="11"/>
        <v>0</v>
      </c>
      <c r="H39" s="62">
        <f>$H$40-($C$40-C39)*($H$40-$H$37)/($C$40-$C$37)</f>
        <v>2.5099603870072813</v>
      </c>
      <c r="I39" s="74">
        <f t="shared" si="12"/>
        <v>172.60615384615389</v>
      </c>
      <c r="J39" s="62">
        <f t="shared" ref="J39:J62" si="20">F39/H39</f>
        <v>2.9899337947573814</v>
      </c>
      <c r="K39" s="62">
        <f t="shared" ref="K39:K62" si="21">D39*J39</f>
        <v>68.76847727941977</v>
      </c>
      <c r="L39" s="63">
        <f>$L$40-($C$40-C39)*($L$40-$L$37)/($C$40-$C$37)</f>
        <v>1.6338355710680816</v>
      </c>
      <c r="M39" s="63">
        <f>$M$40-($C$40-C39)*($M$40-$M$37)/($C$40-$C$37)</f>
        <v>2.9392551324479741</v>
      </c>
      <c r="N39" s="63">
        <f t="shared" si="13"/>
        <v>37.57821813456588</v>
      </c>
      <c r="O39" s="63">
        <f t="shared" si="14"/>
        <v>67.602868046303399</v>
      </c>
      <c r="P39" s="63">
        <f t="shared" si="6"/>
        <v>0.28077832911837497</v>
      </c>
      <c r="Q39" s="63">
        <f t="shared" si="15"/>
        <v>6.4579015697226243</v>
      </c>
      <c r="W39" s="84">
        <f t="shared" si="5"/>
        <v>0</v>
      </c>
      <c r="X39" s="84">
        <f t="shared" si="7"/>
        <v>-10</v>
      </c>
      <c r="Y39" s="84">
        <f t="shared" si="8"/>
        <v>-7</v>
      </c>
      <c r="Z39" s="90">
        <f t="shared" si="16"/>
        <v>8.3589466325149875</v>
      </c>
      <c r="AA39" s="90">
        <f t="shared" si="17"/>
        <v>7.4009782802529624</v>
      </c>
      <c r="AB39" s="84">
        <f t="shared" si="18"/>
        <v>2.2530953852213123</v>
      </c>
      <c r="AC39" s="84"/>
      <c r="AD39" s="85"/>
      <c r="AE39" s="85"/>
      <c r="AF39" s="85"/>
      <c r="AG39" s="85"/>
    </row>
    <row r="40" spans="1:33" s="42" customFormat="1" ht="20.100000000000001" customHeight="1" x14ac:dyDescent="0.3">
      <c r="A40" s="72" t="str">
        <f>IF(AND(C40=$B$21,C40=$E$7,C40=-7),"A/E/F",IF(C40=$B$21,"A/E",IF(C40=$E$7,"A/F","A")))</f>
        <v>A</v>
      </c>
      <c r="B40" s="73">
        <v>24</v>
      </c>
      <c r="C40" s="73">
        <v>-7</v>
      </c>
      <c r="D40" s="73">
        <v>24</v>
      </c>
      <c r="E40" s="62">
        <f t="shared" si="9"/>
        <v>88.461538461538453</v>
      </c>
      <c r="F40" s="62">
        <f t="shared" si="10"/>
        <v>7.1919230769230778</v>
      </c>
      <c r="G40" s="62">
        <f>IF($C40&lt;$E$8,0,IF($C40=$E$7,E$19,IF($C40=$E$8,E$20,IF($W40=1,$Z40,($C40-$X40)/($Y40-$X40)*($AA40-$Z40)+$Z40))))</f>
        <v>7.4009782802529624</v>
      </c>
      <c r="H40" s="62">
        <f>I16</f>
        <v>2.7380952380952381</v>
      </c>
      <c r="I40" s="74">
        <f t="shared" si="12"/>
        <v>172.60615384615386</v>
      </c>
      <c r="J40" s="62">
        <f t="shared" si="20"/>
        <v>2.626615384615385</v>
      </c>
      <c r="K40" s="62">
        <f t="shared" si="21"/>
        <v>63.03876923076924</v>
      </c>
      <c r="L40" s="62">
        <f>J15</f>
        <v>2.4280433089279621</v>
      </c>
      <c r="M40" s="63">
        <f>K15</f>
        <v>2.9392551324479741</v>
      </c>
      <c r="N40" s="63">
        <f t="shared" si="13"/>
        <v>58.273039414271089</v>
      </c>
      <c r="O40" s="63">
        <f t="shared" si="14"/>
        <v>70.542123178751382</v>
      </c>
      <c r="P40" s="63">
        <f t="shared" si="6"/>
        <v>0.28077832911837497</v>
      </c>
      <c r="Q40" s="63">
        <f t="shared" si="15"/>
        <v>6.7386798988409993</v>
      </c>
      <c r="W40" s="84">
        <f t="shared" si="5"/>
        <v>1</v>
      </c>
      <c r="X40" s="84">
        <f t="shared" si="7"/>
        <v>-7</v>
      </c>
      <c r="Y40" s="84">
        <f t="shared" si="8"/>
        <v>-7</v>
      </c>
      <c r="Z40" s="90">
        <f t="shared" si="16"/>
        <v>7.4009782802529624</v>
      </c>
      <c r="AA40" s="90">
        <f t="shared" si="17"/>
        <v>7.4009782802529624</v>
      </c>
      <c r="AB40" s="84">
        <f t="shared" si="18"/>
        <v>2.0536906848313672</v>
      </c>
      <c r="AC40" s="84"/>
      <c r="AD40" s="85"/>
      <c r="AE40" s="85"/>
      <c r="AF40" s="85"/>
      <c r="AG40" s="85"/>
    </row>
    <row r="41" spans="1:33" s="8" customFormat="1" ht="20.100000000000001" customHeight="1" x14ac:dyDescent="0.3">
      <c r="A41" s="72" t="str">
        <f>IF(OR($E$7="",$E$8=""),"",IF(AND(C41=$B$21,C41=$E$7),"E/F",IF(C41=$B$21,"E",IF(C41=$E$7,"F",""))))</f>
        <v/>
      </c>
      <c r="B41" s="73">
        <v>25</v>
      </c>
      <c r="C41" s="73">
        <v>-6</v>
      </c>
      <c r="D41" s="73">
        <v>27</v>
      </c>
      <c r="E41" s="62">
        <f t="shared" si="9"/>
        <v>84.615384615384613</v>
      </c>
      <c r="F41" s="62">
        <f t="shared" si="10"/>
        <v>6.8792307692307704</v>
      </c>
      <c r="G41" s="62">
        <f t="shared" ref="G41:G49" si="22">IF($C41&lt;$E$8,0,IF($C41=$E$7,E$19,IF($C41=$E$8,E$20,IF($W41=1,$Z41,($C41-$X41)/($Y41-$X41)*($AA41-$Z41)+$Z41))))</f>
        <v>7.0785218826314988</v>
      </c>
      <c r="H41" s="62">
        <f>$H$49-($C$49-C41)*($H$49-$H$40)/($C$49-$C$40)</f>
        <v>2.7380952380952381</v>
      </c>
      <c r="I41" s="74">
        <f t="shared" si="12"/>
        <v>185.7392307692308</v>
      </c>
      <c r="J41" s="62">
        <f>F41/H41</f>
        <v>2.5124147157190637</v>
      </c>
      <c r="K41" s="62">
        <f t="shared" si="21"/>
        <v>67.835197324414722</v>
      </c>
      <c r="L41" s="63">
        <f>$L$49-($C$49-C41)*($L$49-$L$40)/($C$49-$C$40)</f>
        <v>2.3449273857137438</v>
      </c>
      <c r="M41" s="63">
        <f>$M$49-($C$49-C41)*($M$49-$M$40)/($C$49-$C$40)</f>
        <v>2.6126712288426437</v>
      </c>
      <c r="N41" s="63">
        <f t="shared" si="13"/>
        <v>63.313039414271081</v>
      </c>
      <c r="O41" s="63">
        <f t="shared" si="14"/>
        <v>70.542123178751382</v>
      </c>
      <c r="P41" s="63">
        <f t="shared" si="6"/>
        <v>0.2495807369941111</v>
      </c>
      <c r="Q41" s="63">
        <f t="shared" si="15"/>
        <v>6.7386798988409993</v>
      </c>
      <c r="W41" s="84">
        <f t="shared" si="5"/>
        <v>0</v>
      </c>
      <c r="X41" s="84">
        <f t="shared" si="7"/>
        <v>-7</v>
      </c>
      <c r="Y41" s="84">
        <f t="shared" si="8"/>
        <v>1</v>
      </c>
      <c r="Z41" s="90">
        <f t="shared" si="16"/>
        <v>7.4009782802529624</v>
      </c>
      <c r="AA41" s="90">
        <f t="shared" si="17"/>
        <v>4.82132709928125</v>
      </c>
      <c r="AB41" s="84">
        <f t="shared" si="18"/>
        <v>2.0536906848313672</v>
      </c>
      <c r="AC41" s="84"/>
      <c r="AD41" s="85"/>
      <c r="AE41" s="85"/>
      <c r="AF41" s="85"/>
      <c r="AG41" s="85"/>
    </row>
    <row r="42" spans="1:33" s="8" customFormat="1" ht="20.100000000000001" customHeight="1" x14ac:dyDescent="0.3">
      <c r="A42" s="72" t="str">
        <f t="shared" ref="A42:A48" si="23">IF(OR($E$7="",$E$8=""),"",IF(AND(C42=$B$21,C42=$E$7),"E/F",IF(C42=$B$21,"E",IF(C42=$E$7,"F",""))))</f>
        <v/>
      </c>
      <c r="B42" s="73">
        <v>26</v>
      </c>
      <c r="C42" s="73">
        <v>-5</v>
      </c>
      <c r="D42" s="73">
        <v>68</v>
      </c>
      <c r="E42" s="62">
        <f t="shared" si="9"/>
        <v>80.769230769230774</v>
      </c>
      <c r="F42" s="62">
        <f t="shared" si="10"/>
        <v>6.566538461538463</v>
      </c>
      <c r="G42" s="62">
        <f t="shared" si="22"/>
        <v>6.7560654850100343</v>
      </c>
      <c r="H42" s="62">
        <f t="shared" ref="H42:H48" si="24">$H$49-($C$49-C42)*($H$49-$H$40)/($C$49-$C$40)</f>
        <v>2.7380952380952381</v>
      </c>
      <c r="I42" s="74">
        <f t="shared" si="12"/>
        <v>446.52461538461546</v>
      </c>
      <c r="J42" s="62">
        <f t="shared" si="20"/>
        <v>2.3982140468227429</v>
      </c>
      <c r="K42" s="62">
        <f t="shared" si="21"/>
        <v>163.07855518394652</v>
      </c>
      <c r="L42" s="63">
        <f t="shared" ref="L42:L48" si="25">$L$49-($C$49-C42)*($L$49-$L$40)/($C$49-$C$40)</f>
        <v>2.261811462499526</v>
      </c>
      <c r="M42" s="63">
        <f t="shared" ref="M42:M48" si="26">$M$49-($C$49-C42)*($M$49-$M$40)/($C$49-$C$40)</f>
        <v>2.2860873252373128</v>
      </c>
      <c r="N42" s="63">
        <f t="shared" si="13"/>
        <v>153.80317944996776</v>
      </c>
      <c r="O42" s="63">
        <f t="shared" si="14"/>
        <v>155.45393811613727</v>
      </c>
      <c r="P42" s="63">
        <f t="shared" si="6"/>
        <v>0.21838314486984714</v>
      </c>
      <c r="Q42" s="63">
        <f t="shared" si="15"/>
        <v>14.850053851149605</v>
      </c>
      <c r="W42" s="84">
        <f t="shared" si="5"/>
        <v>0</v>
      </c>
      <c r="X42" s="84">
        <f t="shared" si="7"/>
        <v>-7</v>
      </c>
      <c r="Y42" s="84">
        <f t="shared" si="8"/>
        <v>1</v>
      </c>
      <c r="Z42" s="90">
        <f t="shared" si="16"/>
        <v>7.4009782802529624</v>
      </c>
      <c r="AA42" s="90">
        <f t="shared" si="17"/>
        <v>4.82132709928125</v>
      </c>
      <c r="AB42" s="84">
        <f t="shared" si="18"/>
        <v>2.0536906848313672</v>
      </c>
      <c r="AC42" s="84"/>
      <c r="AD42" s="85"/>
      <c r="AE42" s="85"/>
      <c r="AF42" s="85"/>
      <c r="AG42" s="85"/>
    </row>
    <row r="43" spans="1:33" s="8" customFormat="1" ht="20.100000000000001" customHeight="1" x14ac:dyDescent="0.3">
      <c r="A43" s="72" t="str">
        <f t="shared" si="23"/>
        <v/>
      </c>
      <c r="B43" s="73">
        <v>27</v>
      </c>
      <c r="C43" s="73">
        <v>-4</v>
      </c>
      <c r="D43" s="73">
        <v>91</v>
      </c>
      <c r="E43" s="62">
        <f t="shared" si="9"/>
        <v>76.923076923076934</v>
      </c>
      <c r="F43" s="62">
        <f t="shared" si="10"/>
        <v>6.2538461538461556</v>
      </c>
      <c r="G43" s="62">
        <f t="shared" si="22"/>
        <v>6.4336090873885698</v>
      </c>
      <c r="H43" s="62">
        <f t="shared" si="24"/>
        <v>2.7380952380952381</v>
      </c>
      <c r="I43" s="74">
        <f t="shared" si="12"/>
        <v>569.10000000000014</v>
      </c>
      <c r="J43" s="62">
        <f t="shared" si="20"/>
        <v>2.284013377926422</v>
      </c>
      <c r="K43" s="62">
        <f t="shared" si="21"/>
        <v>207.8452173913044</v>
      </c>
      <c r="L43" s="63">
        <f t="shared" si="25"/>
        <v>2.1786955392853078</v>
      </c>
      <c r="M43" s="63">
        <f>$M$49-($C$49-C43)*($M$49-$M$40)/($C$49-$C$40)</f>
        <v>1.9595034216319829</v>
      </c>
      <c r="N43" s="63">
        <f t="shared" si="13"/>
        <v>198.26129407496302</v>
      </c>
      <c r="O43" s="63">
        <f t="shared" si="14"/>
        <v>178.31481136851045</v>
      </c>
      <c r="P43" s="63">
        <f t="shared" si="6"/>
        <v>0.18718555274558335</v>
      </c>
      <c r="Q43" s="63">
        <f t="shared" si="15"/>
        <v>17.033885299848084</v>
      </c>
      <c r="W43" s="84">
        <f t="shared" si="5"/>
        <v>0</v>
      </c>
      <c r="X43" s="84">
        <f t="shared" si="7"/>
        <v>-7</v>
      </c>
      <c r="Y43" s="84">
        <f t="shared" si="8"/>
        <v>1</v>
      </c>
      <c r="Z43" s="90">
        <f t="shared" si="16"/>
        <v>7.4009782802529624</v>
      </c>
      <c r="AA43" s="90">
        <f t="shared" si="17"/>
        <v>4.82132709928125</v>
      </c>
      <c r="AB43" s="84">
        <f t="shared" si="18"/>
        <v>2.0536906848313672</v>
      </c>
      <c r="AC43" s="84"/>
      <c r="AD43" s="85"/>
      <c r="AE43" s="85"/>
      <c r="AF43" s="85"/>
      <c r="AG43" s="85"/>
    </row>
    <row r="44" spans="1:33" s="8" customFormat="1" ht="20.100000000000001" customHeight="1" x14ac:dyDescent="0.3">
      <c r="A44" s="72" t="str">
        <f t="shared" si="23"/>
        <v/>
      </c>
      <c r="B44" s="73">
        <v>28</v>
      </c>
      <c r="C44" s="73">
        <v>-3</v>
      </c>
      <c r="D44" s="73">
        <v>89</v>
      </c>
      <c r="E44" s="62">
        <f t="shared" si="9"/>
        <v>73.076923076923066</v>
      </c>
      <c r="F44" s="62">
        <f t="shared" si="10"/>
        <v>5.9411538461538456</v>
      </c>
      <c r="G44" s="62">
        <f t="shared" si="22"/>
        <v>6.1111526897671062</v>
      </c>
      <c r="H44" s="62">
        <f t="shared" si="24"/>
        <v>2.7380952380952381</v>
      </c>
      <c r="I44" s="74">
        <f t="shared" si="12"/>
        <v>528.7626923076923</v>
      </c>
      <c r="J44" s="62">
        <f t="shared" si="20"/>
        <v>2.1698127090301003</v>
      </c>
      <c r="K44" s="62">
        <f t="shared" si="21"/>
        <v>193.11333110367892</v>
      </c>
      <c r="L44" s="63">
        <f t="shared" si="25"/>
        <v>2.09557961607109</v>
      </c>
      <c r="M44" s="63">
        <f t="shared" si="26"/>
        <v>1.6329195180266523</v>
      </c>
      <c r="N44" s="63">
        <f t="shared" si="13"/>
        <v>186.506585830327</v>
      </c>
      <c r="O44" s="63">
        <f t="shared" si="14"/>
        <v>145.32983710437205</v>
      </c>
      <c r="P44" s="63">
        <f t="shared" si="6"/>
        <v>0.15598796062131942</v>
      </c>
      <c r="Q44" s="63">
        <f t="shared" si="15"/>
        <v>13.882928495297428</v>
      </c>
      <c r="W44" s="84">
        <f t="shared" si="5"/>
        <v>0</v>
      </c>
      <c r="X44" s="84">
        <f t="shared" si="7"/>
        <v>-7</v>
      </c>
      <c r="Y44" s="84">
        <f t="shared" si="8"/>
        <v>1</v>
      </c>
      <c r="Z44" s="90">
        <f t="shared" si="16"/>
        <v>7.4009782802529624</v>
      </c>
      <c r="AA44" s="90">
        <f t="shared" si="17"/>
        <v>4.82132709928125</v>
      </c>
      <c r="AB44" s="84">
        <f t="shared" si="18"/>
        <v>2.0536906848313672</v>
      </c>
      <c r="AC44" s="84"/>
      <c r="AD44" s="85"/>
      <c r="AE44" s="85"/>
      <c r="AF44" s="85"/>
      <c r="AG44" s="85"/>
    </row>
    <row r="45" spans="1:33" s="8" customFormat="1" ht="20.100000000000001" customHeight="1" x14ac:dyDescent="0.3">
      <c r="A45" s="72" t="str">
        <f t="shared" si="23"/>
        <v/>
      </c>
      <c r="B45" s="73">
        <v>29</v>
      </c>
      <c r="C45" s="73">
        <v>-2</v>
      </c>
      <c r="D45" s="73">
        <v>165</v>
      </c>
      <c r="E45" s="62">
        <f t="shared" si="9"/>
        <v>69.230769230769226</v>
      </c>
      <c r="F45" s="62">
        <f t="shared" si="10"/>
        <v>5.6284615384615382</v>
      </c>
      <c r="G45" s="62">
        <f t="shared" si="22"/>
        <v>5.7886962921456426</v>
      </c>
      <c r="H45" s="62">
        <f t="shared" si="24"/>
        <v>2.7380952380952381</v>
      </c>
      <c r="I45" s="74">
        <f t="shared" si="12"/>
        <v>928.69615384615383</v>
      </c>
      <c r="J45" s="62">
        <f t="shared" si="20"/>
        <v>2.055612040133779</v>
      </c>
      <c r="K45" s="62">
        <f t="shared" si="21"/>
        <v>339.17598662207354</v>
      </c>
      <c r="L45" s="63">
        <f t="shared" si="25"/>
        <v>2.0124636928568718</v>
      </c>
      <c r="M45" s="63">
        <f t="shared" si="26"/>
        <v>1.3063356144213218</v>
      </c>
      <c r="N45" s="63">
        <f t="shared" si="13"/>
        <v>332.05650932138383</v>
      </c>
      <c r="O45" s="63">
        <f t="shared" si="14"/>
        <v>215.5453763795181</v>
      </c>
      <c r="P45" s="63">
        <f t="shared" si="6"/>
        <v>0.12479036849705555</v>
      </c>
      <c r="Q45" s="63">
        <f t="shared" si="15"/>
        <v>20.590410802014166</v>
      </c>
      <c r="W45" s="84">
        <f t="shared" si="5"/>
        <v>0</v>
      </c>
      <c r="X45" s="84">
        <f t="shared" si="7"/>
        <v>-7</v>
      </c>
      <c r="Y45" s="84">
        <f t="shared" si="8"/>
        <v>1</v>
      </c>
      <c r="Z45" s="90">
        <f t="shared" si="16"/>
        <v>7.4009782802529624</v>
      </c>
      <c r="AA45" s="90">
        <f t="shared" si="17"/>
        <v>4.82132709928125</v>
      </c>
      <c r="AB45" s="84">
        <f t="shared" si="18"/>
        <v>2.0536906848313672</v>
      </c>
      <c r="AC45" s="84"/>
      <c r="AD45" s="85"/>
      <c r="AE45" s="85"/>
      <c r="AF45" s="85"/>
      <c r="AG45" s="85"/>
    </row>
    <row r="46" spans="1:33" s="8" customFormat="1" ht="20.100000000000001" customHeight="1" x14ac:dyDescent="0.3">
      <c r="A46" s="72" t="str">
        <f t="shared" si="23"/>
        <v/>
      </c>
      <c r="B46" s="73">
        <v>30</v>
      </c>
      <c r="C46" s="73">
        <v>-1</v>
      </c>
      <c r="D46" s="73">
        <v>173</v>
      </c>
      <c r="E46" s="62">
        <f t="shared" si="9"/>
        <v>65.384615384615387</v>
      </c>
      <c r="F46" s="62">
        <f t="shared" si="10"/>
        <v>5.3157692307692308</v>
      </c>
      <c r="G46" s="62">
        <f t="shared" si="22"/>
        <v>5.4662398945241781</v>
      </c>
      <c r="H46" s="62">
        <f t="shared" si="24"/>
        <v>2.7380952380952381</v>
      </c>
      <c r="I46" s="74">
        <f t="shared" si="12"/>
        <v>919.62807692307695</v>
      </c>
      <c r="J46" s="62">
        <f t="shared" si="20"/>
        <v>1.9414113712374581</v>
      </c>
      <c r="K46" s="62">
        <f t="shared" si="21"/>
        <v>335.86416722408023</v>
      </c>
      <c r="L46" s="63">
        <f t="shared" si="25"/>
        <v>1.929347769642654</v>
      </c>
      <c r="M46" s="63">
        <f t="shared" si="26"/>
        <v>0.97975171081599144</v>
      </c>
      <c r="N46" s="63">
        <f t="shared" si="13"/>
        <v>333.77716414817911</v>
      </c>
      <c r="O46" s="63">
        <f t="shared" si="14"/>
        <v>169.49704597116653</v>
      </c>
      <c r="P46" s="63">
        <f t="shared" si="6"/>
        <v>9.3592776372791675E-2</v>
      </c>
      <c r="Q46" s="63">
        <f t="shared" si="15"/>
        <v>16.191550312492961</v>
      </c>
      <c r="W46" s="84">
        <f t="shared" si="5"/>
        <v>0</v>
      </c>
      <c r="X46" s="84">
        <f t="shared" si="7"/>
        <v>-7</v>
      </c>
      <c r="Y46" s="84">
        <f t="shared" si="8"/>
        <v>1</v>
      </c>
      <c r="Z46" s="90">
        <f t="shared" si="16"/>
        <v>7.4009782802529624</v>
      </c>
      <c r="AA46" s="90">
        <f t="shared" si="17"/>
        <v>4.82132709928125</v>
      </c>
      <c r="AB46" s="84">
        <f t="shared" si="18"/>
        <v>2.0536906848313672</v>
      </c>
      <c r="AC46" s="84"/>
      <c r="AD46" s="85"/>
      <c r="AE46" s="85"/>
      <c r="AF46" s="85"/>
      <c r="AG46" s="85"/>
    </row>
    <row r="47" spans="1:33" s="8" customFormat="1" ht="20.100000000000001" customHeight="1" x14ac:dyDescent="0.3">
      <c r="A47" s="72" t="str">
        <f t="shared" si="23"/>
        <v/>
      </c>
      <c r="B47" s="73">
        <v>31</v>
      </c>
      <c r="C47" s="73">
        <v>0</v>
      </c>
      <c r="D47" s="73">
        <v>240</v>
      </c>
      <c r="E47" s="62">
        <f t="shared" si="9"/>
        <v>61.53846153846154</v>
      </c>
      <c r="F47" s="62">
        <f t="shared" si="10"/>
        <v>5.0030769230769234</v>
      </c>
      <c r="G47" s="62">
        <f t="shared" si="22"/>
        <v>5.1437834969027136</v>
      </c>
      <c r="H47" s="62">
        <f t="shared" si="24"/>
        <v>2.7380952380952381</v>
      </c>
      <c r="I47" s="74">
        <f t="shared" si="12"/>
        <v>1200.7384615384617</v>
      </c>
      <c r="J47" s="62">
        <f t="shared" si="20"/>
        <v>1.8272107023411372</v>
      </c>
      <c r="K47" s="62">
        <f t="shared" si="21"/>
        <v>438.53056856187294</v>
      </c>
      <c r="L47" s="63">
        <f t="shared" si="25"/>
        <v>1.846231846428436</v>
      </c>
      <c r="M47" s="63">
        <f t="shared" si="26"/>
        <v>0.65316780721066092</v>
      </c>
      <c r="N47" s="63">
        <f t="shared" si="13"/>
        <v>443.09564314282466</v>
      </c>
      <c r="O47" s="63">
        <f t="shared" si="14"/>
        <v>156.76027373055862</v>
      </c>
      <c r="P47" s="63">
        <f t="shared" si="6"/>
        <v>6.2395184248527774E-2</v>
      </c>
      <c r="Q47" s="63">
        <f t="shared" si="15"/>
        <v>14.974844219646666</v>
      </c>
      <c r="W47" s="84">
        <f t="shared" si="5"/>
        <v>0</v>
      </c>
      <c r="X47" s="84">
        <f t="shared" si="7"/>
        <v>-7</v>
      </c>
      <c r="Y47" s="84">
        <f t="shared" si="8"/>
        <v>1</v>
      </c>
      <c r="Z47" s="90">
        <f t="shared" si="16"/>
        <v>7.4009782802529624</v>
      </c>
      <c r="AA47" s="90">
        <f t="shared" si="17"/>
        <v>4.82132709928125</v>
      </c>
      <c r="AB47" s="84">
        <f t="shared" si="18"/>
        <v>2.0536906848313672</v>
      </c>
      <c r="AC47" s="84"/>
      <c r="AD47" s="85"/>
      <c r="AE47" s="85"/>
      <c r="AF47" s="85"/>
      <c r="AG47" s="85"/>
    </row>
    <row r="48" spans="1:33" s="8" customFormat="1" ht="20.100000000000001" customHeight="1" x14ac:dyDescent="0.3">
      <c r="A48" s="72" t="str">
        <f t="shared" si="23"/>
        <v>F</v>
      </c>
      <c r="B48" s="73">
        <v>32</v>
      </c>
      <c r="C48" s="73">
        <v>1</v>
      </c>
      <c r="D48" s="73">
        <v>280</v>
      </c>
      <c r="E48" s="62">
        <f t="shared" si="9"/>
        <v>57.692307692307686</v>
      </c>
      <c r="F48" s="62">
        <f t="shared" si="10"/>
        <v>4.6903846153846152</v>
      </c>
      <c r="G48" s="62">
        <f t="shared" si="22"/>
        <v>4.82132709928125</v>
      </c>
      <c r="H48" s="62">
        <f t="shared" si="24"/>
        <v>2.7380952380952381</v>
      </c>
      <c r="I48" s="74">
        <f t="shared" si="12"/>
        <v>1313.3076923076922</v>
      </c>
      <c r="J48" s="62">
        <f t="shared" si="20"/>
        <v>1.7130100334448159</v>
      </c>
      <c r="K48" s="62">
        <f t="shared" si="21"/>
        <v>479.64280936454844</v>
      </c>
      <c r="L48" s="63">
        <f t="shared" si="25"/>
        <v>1.763115923214218</v>
      </c>
      <c r="M48" s="63">
        <f t="shared" si="26"/>
        <v>0.32658390360533046</v>
      </c>
      <c r="N48" s="63">
        <f t="shared" si="13"/>
        <v>493.67245849998102</v>
      </c>
      <c r="O48" s="63">
        <f t="shared" si="14"/>
        <v>91.443493009492528</v>
      </c>
      <c r="P48" s="63">
        <f t="shared" si="6"/>
        <v>3.1197592124263887E-2</v>
      </c>
      <c r="Q48" s="63">
        <f t="shared" si="15"/>
        <v>8.7353257947938889</v>
      </c>
      <c r="W48" s="84">
        <f t="shared" si="5"/>
        <v>1</v>
      </c>
      <c r="X48" s="84">
        <f t="shared" si="7"/>
        <v>1</v>
      </c>
      <c r="Y48" s="84">
        <f t="shared" si="8"/>
        <v>1</v>
      </c>
      <c r="Z48" s="90">
        <f t="shared" si="16"/>
        <v>4.82132709928125</v>
      </c>
      <c r="AA48" s="90">
        <f t="shared" si="17"/>
        <v>4.82132709928125</v>
      </c>
      <c r="AB48" s="84">
        <f t="shared" si="18"/>
        <v>2.4439976236402541</v>
      </c>
      <c r="AC48" s="84"/>
      <c r="AD48" s="85"/>
      <c r="AE48" s="85"/>
      <c r="AF48" s="85"/>
      <c r="AG48" s="85"/>
    </row>
    <row r="49" spans="1:33" s="42" customFormat="1" ht="20.100000000000001" customHeight="1" x14ac:dyDescent="0.3">
      <c r="A49" s="72" t="str">
        <f>IF(AND(C49=$B$21,C49=$E$7,C49=2),"B/E/F",IF(C49=$B$21,"B/E",IF(C49=$E$7,"B/F","B")))</f>
        <v>B</v>
      </c>
      <c r="B49" s="73">
        <v>33</v>
      </c>
      <c r="C49" s="73">
        <v>2</v>
      </c>
      <c r="D49" s="73">
        <v>320</v>
      </c>
      <c r="E49" s="62">
        <f t="shared" si="9"/>
        <v>53.846153846153847</v>
      </c>
      <c r="F49" s="62">
        <f t="shared" si="10"/>
        <v>4.3776923076923087</v>
      </c>
      <c r="G49" s="62">
        <f t="shared" si="22"/>
        <v>4.5999999999999996</v>
      </c>
      <c r="H49" s="62">
        <f>I16</f>
        <v>2.7380952380952381</v>
      </c>
      <c r="I49" s="74">
        <f t="shared" si="12"/>
        <v>1400.8615384615387</v>
      </c>
      <c r="J49" s="62">
        <f t="shared" si="20"/>
        <v>1.5988093645484953</v>
      </c>
      <c r="K49" s="62">
        <f t="shared" si="21"/>
        <v>511.61899665551852</v>
      </c>
      <c r="L49" s="62">
        <f>J16</f>
        <v>1.68</v>
      </c>
      <c r="M49" s="62">
        <f>K16</f>
        <v>0</v>
      </c>
      <c r="N49" s="63">
        <f t="shared" si="13"/>
        <v>537.6</v>
      </c>
      <c r="O49" s="63">
        <f t="shared" si="14"/>
        <v>0</v>
      </c>
      <c r="P49" s="63">
        <f t="shared" si="6"/>
        <v>0</v>
      </c>
      <c r="Q49" s="63">
        <f t="shared" si="15"/>
        <v>0</v>
      </c>
      <c r="W49" s="84">
        <f t="shared" si="5"/>
        <v>1</v>
      </c>
      <c r="X49" s="84">
        <f t="shared" si="7"/>
        <v>2</v>
      </c>
      <c r="Y49" s="84">
        <f t="shared" si="8"/>
        <v>2</v>
      </c>
      <c r="Z49" s="90">
        <f t="shared" si="16"/>
        <v>4.5999999999999996</v>
      </c>
      <c r="AA49" s="90">
        <f t="shared" si="17"/>
        <v>4.5999999999999996</v>
      </c>
      <c r="AB49" s="84">
        <f t="shared" si="18"/>
        <v>2.7380952380952381</v>
      </c>
      <c r="AC49" s="84"/>
      <c r="AD49" s="85"/>
      <c r="AE49" s="85"/>
      <c r="AF49" s="85"/>
      <c r="AG49" s="85"/>
    </row>
    <row r="50" spans="1:33" s="8" customFormat="1" ht="20.100000000000001" customHeight="1" x14ac:dyDescent="0.3">
      <c r="A50" s="72"/>
      <c r="B50" s="73">
        <v>34</v>
      </c>
      <c r="C50" s="73">
        <v>3</v>
      </c>
      <c r="D50" s="73">
        <v>357</v>
      </c>
      <c r="E50" s="62">
        <f t="shared" si="9"/>
        <v>50</v>
      </c>
      <c r="F50" s="62">
        <f t="shared" si="10"/>
        <v>4.0650000000000004</v>
      </c>
      <c r="G50" s="62">
        <f>IF($C50&lt;$E$8,0,IF($C50=$E$7,E$19,IF($C50=$E$8,E$20,IF($W50=1,$Z50,($C50-$X50)/($Y50-$X50)*($AA50-$Z50)+$Z50))))</f>
        <v>4.2747126259807215</v>
      </c>
      <c r="H50" s="62">
        <f>$H$54-($C$54-C50)*($H$54-$H$49)/($C$54-$C$49)</f>
        <v>3.1423755489984533</v>
      </c>
      <c r="I50" s="74">
        <f t="shared" si="12"/>
        <v>1451.2050000000002</v>
      </c>
      <c r="J50" s="62">
        <f t="shared" si="20"/>
        <v>1.2936073160624002</v>
      </c>
      <c r="K50" s="62">
        <f t="shared" si="21"/>
        <v>461.81781183427688</v>
      </c>
      <c r="L50" s="63">
        <f>$L$54-($C$54-C50)*($L$54-$L$49)/($C$54-$C$49)</f>
        <v>1.4689528368007221</v>
      </c>
      <c r="M50" s="63">
        <f>$M$54-($C$54-C50)*($M$54-$M$49)/($C$54-$C$49)</f>
        <v>0</v>
      </c>
      <c r="N50" s="63">
        <f t="shared" si="13"/>
        <v>524.4161627378578</v>
      </c>
      <c r="O50" s="63">
        <f t="shared" si="14"/>
        <v>0</v>
      </c>
      <c r="P50" s="63">
        <f t="shared" si="6"/>
        <v>0</v>
      </c>
      <c r="Q50" s="63">
        <f t="shared" si="15"/>
        <v>0</v>
      </c>
      <c r="W50" s="84">
        <f t="shared" si="5"/>
        <v>0</v>
      </c>
      <c r="X50" s="84">
        <f t="shared" si="7"/>
        <v>2</v>
      </c>
      <c r="Y50" s="84">
        <f t="shared" si="8"/>
        <v>7</v>
      </c>
      <c r="Z50" s="90">
        <f t="shared" si="16"/>
        <v>4.5999999999999996</v>
      </c>
      <c r="AA50" s="90">
        <f t="shared" si="17"/>
        <v>2.9735631299036109</v>
      </c>
      <c r="AB50" s="84">
        <f t="shared" si="18"/>
        <v>2.7380952380952381</v>
      </c>
      <c r="AC50" s="84"/>
      <c r="AD50" s="85"/>
      <c r="AE50" s="85"/>
      <c r="AF50" s="85"/>
      <c r="AG50" s="85"/>
    </row>
    <row r="51" spans="1:33" s="42" customFormat="1" ht="20.100000000000001" customHeight="1" x14ac:dyDescent="0.3">
      <c r="A51" s="72"/>
      <c r="B51" s="73">
        <v>35</v>
      </c>
      <c r="C51" s="73">
        <v>4</v>
      </c>
      <c r="D51" s="73">
        <v>356</v>
      </c>
      <c r="E51" s="62">
        <f t="shared" si="9"/>
        <v>46.153846153846153</v>
      </c>
      <c r="F51" s="62">
        <f t="shared" si="10"/>
        <v>3.752307692307693</v>
      </c>
      <c r="G51" s="62">
        <f t="shared" ref="G51:G52" si="27">IF($C51&lt;$E$8,0,IF($C51=$E$7,E$19,IF($C51=$E$8,E$20,IF($W51=1,$Z51,($C51-$X51)/($Y51-$X51)*($AA51-$Z51)+$Z51))))</f>
        <v>3.9494252519614443</v>
      </c>
      <c r="H51" s="62">
        <f t="shared" ref="H51:H53" si="28">$H$54-($C$54-C51)*($H$54-$H$49)/($C$54-$C$49)</f>
        <v>3.5466558599016684</v>
      </c>
      <c r="I51" s="74">
        <f t="shared" si="12"/>
        <v>1335.8215384615387</v>
      </c>
      <c r="J51" s="62">
        <f t="shared" si="20"/>
        <v>1.0579847158928259</v>
      </c>
      <c r="K51" s="62">
        <f t="shared" si="21"/>
        <v>376.64255885784604</v>
      </c>
      <c r="L51" s="63">
        <f t="shared" ref="L51:L53" si="29">$L$54-($C$54-C51)*($L$54-$L$49)/($C$54-$C$49)</f>
        <v>1.2579056736014442</v>
      </c>
      <c r="M51" s="63">
        <f t="shared" ref="M51:M53" si="30">$M$54-($C$54-C51)*($M$54-$M$49)/($C$54-$C$49)</f>
        <v>0</v>
      </c>
      <c r="N51" s="63">
        <f t="shared" si="13"/>
        <v>447.81441980211417</v>
      </c>
      <c r="O51" s="63">
        <f t="shared" si="14"/>
        <v>0</v>
      </c>
      <c r="P51" s="63">
        <f t="shared" si="6"/>
        <v>0</v>
      </c>
      <c r="Q51" s="63">
        <f t="shared" si="15"/>
        <v>0</v>
      </c>
      <c r="W51" s="84">
        <f t="shared" si="5"/>
        <v>0</v>
      </c>
      <c r="X51" s="84">
        <f t="shared" si="7"/>
        <v>2</v>
      </c>
      <c r="Y51" s="84">
        <f t="shared" si="8"/>
        <v>7</v>
      </c>
      <c r="Z51" s="90">
        <f t="shared" si="16"/>
        <v>4.5999999999999996</v>
      </c>
      <c r="AA51" s="90">
        <f t="shared" si="17"/>
        <v>2.9735631299036109</v>
      </c>
      <c r="AB51" s="84">
        <f t="shared" si="18"/>
        <v>2.7380952380952381</v>
      </c>
      <c r="AC51" s="84"/>
      <c r="AD51" s="85"/>
      <c r="AE51" s="85"/>
      <c r="AF51" s="85"/>
      <c r="AG51" s="85"/>
    </row>
    <row r="52" spans="1:33" ht="20.100000000000001" customHeight="1" x14ac:dyDescent="0.3">
      <c r="A52" s="72"/>
      <c r="B52" s="73">
        <v>36</v>
      </c>
      <c r="C52" s="73">
        <v>5</v>
      </c>
      <c r="D52" s="75">
        <v>303</v>
      </c>
      <c r="E52" s="62">
        <f t="shared" si="9"/>
        <v>42.307692307692307</v>
      </c>
      <c r="F52" s="62">
        <f t="shared" si="10"/>
        <v>3.4396153846153852</v>
      </c>
      <c r="G52" s="62">
        <f t="shared" si="27"/>
        <v>3.6241378779421662</v>
      </c>
      <c r="H52" s="62">
        <f t="shared" si="28"/>
        <v>3.9509361708048836</v>
      </c>
      <c r="I52" s="74">
        <f t="shared" si="12"/>
        <v>1042.2034615384616</v>
      </c>
      <c r="J52" s="62">
        <f t="shared" si="20"/>
        <v>0.87058237235826252</v>
      </c>
      <c r="K52" s="62">
        <f t="shared" si="21"/>
        <v>263.78645882455356</v>
      </c>
      <c r="L52" s="63">
        <f t="shared" si="29"/>
        <v>1.0468585104021666</v>
      </c>
      <c r="M52" s="63">
        <f t="shared" si="30"/>
        <v>0</v>
      </c>
      <c r="N52" s="63">
        <f t="shared" si="13"/>
        <v>317.19812865185651</v>
      </c>
      <c r="O52" s="63">
        <f t="shared" si="14"/>
        <v>0</v>
      </c>
      <c r="P52" s="63">
        <f t="shared" si="6"/>
        <v>0</v>
      </c>
      <c r="Q52" s="63">
        <f t="shared" si="15"/>
        <v>0</v>
      </c>
      <c r="W52" s="84">
        <f t="shared" si="5"/>
        <v>0</v>
      </c>
      <c r="X52" s="84">
        <f t="shared" si="7"/>
        <v>2</v>
      </c>
      <c r="Y52" s="84">
        <f t="shared" si="8"/>
        <v>7</v>
      </c>
      <c r="Z52" s="90">
        <f t="shared" si="16"/>
        <v>4.5999999999999996</v>
      </c>
      <c r="AA52" s="90">
        <f t="shared" si="17"/>
        <v>2.9735631299036109</v>
      </c>
      <c r="AB52" s="84">
        <f t="shared" si="18"/>
        <v>2.7380952380952381</v>
      </c>
      <c r="AC52" s="84"/>
      <c r="AD52" s="88"/>
      <c r="AE52" s="88"/>
      <c r="AF52" s="88"/>
      <c r="AG52" s="88"/>
    </row>
    <row r="53" spans="1:33" ht="20.100000000000001" customHeight="1" x14ac:dyDescent="0.3">
      <c r="A53" s="72"/>
      <c r="B53" s="73">
        <v>37</v>
      </c>
      <c r="C53" s="73">
        <v>6</v>
      </c>
      <c r="D53" s="75">
        <v>330</v>
      </c>
      <c r="E53" s="62">
        <f t="shared" si="9"/>
        <v>38.461538461538467</v>
      </c>
      <c r="F53" s="62">
        <f t="shared" si="10"/>
        <v>3.1269230769230778</v>
      </c>
      <c r="G53" s="62">
        <f>IF($C53&lt;$E$8,0,IF($C53=$E$7,E$19,IF($C53=$E$8,E$20,IF($W53=1,$Z53,($C53-$X53)/($Y53-$X53)*($AA53-$Z53)+$Z53))))</f>
        <v>3.2988505039228886</v>
      </c>
      <c r="H53" s="62">
        <f t="shared" si="28"/>
        <v>4.3552164817080987</v>
      </c>
      <c r="I53" s="74">
        <f t="shared" si="12"/>
        <v>1031.8846153846157</v>
      </c>
      <c r="J53" s="62">
        <f t="shared" si="20"/>
        <v>0.7179719056575371</v>
      </c>
      <c r="K53" s="62">
        <f t="shared" si="21"/>
        <v>236.93072886698724</v>
      </c>
      <c r="L53" s="63">
        <f t="shared" si="29"/>
        <v>0.83581134720288874</v>
      </c>
      <c r="M53" s="63">
        <f t="shared" si="30"/>
        <v>0</v>
      </c>
      <c r="N53" s="63">
        <f t="shared" si="13"/>
        <v>275.81774457695326</v>
      </c>
      <c r="O53" s="63">
        <f t="shared" si="14"/>
        <v>0</v>
      </c>
      <c r="P53" s="63">
        <f t="shared" si="6"/>
        <v>0</v>
      </c>
      <c r="Q53" s="63">
        <f t="shared" si="15"/>
        <v>0</v>
      </c>
      <c r="W53" s="84">
        <f t="shared" si="5"/>
        <v>0</v>
      </c>
      <c r="X53" s="84">
        <f t="shared" si="7"/>
        <v>2</v>
      </c>
      <c r="Y53" s="84">
        <f t="shared" si="8"/>
        <v>7</v>
      </c>
      <c r="Z53" s="90">
        <f t="shared" si="16"/>
        <v>4.5999999999999996</v>
      </c>
      <c r="AA53" s="90">
        <f t="shared" si="17"/>
        <v>2.9735631299036109</v>
      </c>
      <c r="AB53" s="84">
        <f t="shared" si="18"/>
        <v>2.7380952380952381</v>
      </c>
      <c r="AC53" s="84"/>
      <c r="AD53" s="88"/>
      <c r="AE53" s="88"/>
      <c r="AF53" s="88"/>
      <c r="AG53" s="88"/>
    </row>
    <row r="54" spans="1:33" s="34" customFormat="1" ht="20.100000000000001" customHeight="1" x14ac:dyDescent="0.3">
      <c r="A54" s="72" t="s">
        <v>8</v>
      </c>
      <c r="B54" s="73">
        <v>38</v>
      </c>
      <c r="C54" s="73">
        <v>7</v>
      </c>
      <c r="D54" s="75">
        <v>326</v>
      </c>
      <c r="E54" s="62">
        <f t="shared" si="9"/>
        <v>34.615384615384613</v>
      </c>
      <c r="F54" s="62">
        <f t="shared" si="10"/>
        <v>2.8142307692307691</v>
      </c>
      <c r="G54" s="62">
        <f t="shared" ref="G54:G56" si="31">IF($C54&lt;$E$8,0,IF($C54=$E$7,E$19,IF($C54=$E$8,E$20,IF($W54=1,$Z54,($C54-$X54)/($Y54-$X54)*($AA54-$Z54)+$Z54))))</f>
        <v>2.9735631299036109</v>
      </c>
      <c r="H54" s="62">
        <f>I17</f>
        <v>4.7594967926113139</v>
      </c>
      <c r="I54" s="74">
        <f t="shared" si="12"/>
        <v>917.43923076923068</v>
      </c>
      <c r="J54" s="62">
        <f t="shared" si="20"/>
        <v>0.59128745996837451</v>
      </c>
      <c r="K54" s="62">
        <f t="shared" si="21"/>
        <v>192.75971194969009</v>
      </c>
      <c r="L54" s="67">
        <f>J17</f>
        <v>0.62476418400361089</v>
      </c>
      <c r="M54" s="62">
        <f>K17</f>
        <v>0</v>
      </c>
      <c r="N54" s="63">
        <f t="shared" si="13"/>
        <v>203.67312398517714</v>
      </c>
      <c r="O54" s="63">
        <f t="shared" si="14"/>
        <v>0</v>
      </c>
      <c r="P54" s="63">
        <f t="shared" si="6"/>
        <v>0</v>
      </c>
      <c r="Q54" s="63">
        <f t="shared" si="15"/>
        <v>0</v>
      </c>
      <c r="W54" s="84">
        <f t="shared" si="5"/>
        <v>1</v>
      </c>
      <c r="X54" s="84">
        <f t="shared" si="7"/>
        <v>7</v>
      </c>
      <c r="Y54" s="84">
        <f t="shared" si="8"/>
        <v>7</v>
      </c>
      <c r="Z54" s="90">
        <f t="shared" si="16"/>
        <v>2.9735631299036109</v>
      </c>
      <c r="AA54" s="90">
        <f t="shared" si="17"/>
        <v>2.9735631299036109</v>
      </c>
      <c r="AB54" s="84">
        <f t="shared" si="18"/>
        <v>4.7594967926113139</v>
      </c>
      <c r="AC54" s="84"/>
      <c r="AD54" s="88"/>
      <c r="AE54" s="88"/>
      <c r="AF54" s="88"/>
      <c r="AG54" s="88"/>
    </row>
    <row r="55" spans="1:33" ht="20.100000000000001" customHeight="1" x14ac:dyDescent="0.3">
      <c r="A55" s="72" t="str">
        <f t="shared" si="19"/>
        <v/>
      </c>
      <c r="B55" s="73">
        <v>39</v>
      </c>
      <c r="C55" s="73">
        <v>8</v>
      </c>
      <c r="D55" s="75">
        <v>348</v>
      </c>
      <c r="E55" s="62">
        <f t="shared" si="9"/>
        <v>30.76923076923077</v>
      </c>
      <c r="F55" s="62">
        <f t="shared" si="10"/>
        <v>2.5015384615384617</v>
      </c>
      <c r="G55" s="62">
        <f t="shared" si="31"/>
        <v>2.9066505137273126</v>
      </c>
      <c r="H55" s="62">
        <f>$H$56-($C$56-C55)*($H$56-$H$54)/($C$56-$C$54)</f>
        <v>3.6017472081257838</v>
      </c>
      <c r="I55" s="74">
        <f t="shared" si="12"/>
        <v>870.53538461538471</v>
      </c>
      <c r="J55" s="62">
        <f t="shared" si="20"/>
        <v>0.69453471245700493</v>
      </c>
      <c r="K55" s="62">
        <f t="shared" si="21"/>
        <v>241.69807993503773</v>
      </c>
      <c r="L55" s="55">
        <f>$L$59-($C$59-C55)*($L$59-$L$54)/($C$59-$C$54)</f>
        <v>0.5814724510473126</v>
      </c>
      <c r="M55" s="63">
        <f>$M$59-($C$59-C55)*($M$59-$M$54)/($C$59-$C$54)</f>
        <v>0</v>
      </c>
      <c r="N55" s="63">
        <f t="shared" si="13"/>
        <v>202.35241296446478</v>
      </c>
      <c r="O55" s="63">
        <f t="shared" si="14"/>
        <v>0</v>
      </c>
      <c r="P55" s="63">
        <f t="shared" si="6"/>
        <v>0</v>
      </c>
      <c r="Q55" s="63">
        <f t="shared" si="15"/>
        <v>0</v>
      </c>
      <c r="W55" s="84">
        <f t="shared" si="5"/>
        <v>0</v>
      </c>
      <c r="X55" s="84">
        <f t="shared" si="7"/>
        <v>7</v>
      </c>
      <c r="Y55" s="84">
        <f t="shared" si="8"/>
        <v>12</v>
      </c>
      <c r="Z55" s="90">
        <f t="shared" si="16"/>
        <v>2.9735631299036109</v>
      </c>
      <c r="AA55" s="90">
        <f t="shared" si="17"/>
        <v>2.6390000490221199</v>
      </c>
      <c r="AB55" s="84">
        <f t="shared" si="18"/>
        <v>4.7594967926113139</v>
      </c>
      <c r="AC55" s="84"/>
      <c r="AD55" s="88"/>
      <c r="AE55" s="88"/>
      <c r="AF55" s="88"/>
      <c r="AG55" s="88"/>
    </row>
    <row r="56" spans="1:33" s="34" customFormat="1" ht="20.100000000000001" customHeight="1" x14ac:dyDescent="0.3">
      <c r="A56" s="72" t="str">
        <f t="shared" si="19"/>
        <v/>
      </c>
      <c r="B56" s="73">
        <v>40</v>
      </c>
      <c r="C56" s="73">
        <v>9</v>
      </c>
      <c r="D56" s="75">
        <v>335</v>
      </c>
      <c r="E56" s="62">
        <f t="shared" si="9"/>
        <v>26.923076923076923</v>
      </c>
      <c r="F56" s="62">
        <f t="shared" si="10"/>
        <v>2.1888461538461543</v>
      </c>
      <c r="G56" s="62">
        <f t="shared" si="31"/>
        <v>2.8397378975510144</v>
      </c>
      <c r="H56" s="62">
        <f>I19</f>
        <v>2.4439976236402541</v>
      </c>
      <c r="I56" s="74">
        <f t="shared" si="12"/>
        <v>733.26346153846168</v>
      </c>
      <c r="J56" s="62">
        <f t="shared" si="20"/>
        <v>0.8956007700964701</v>
      </c>
      <c r="K56" s="62">
        <f t="shared" si="21"/>
        <v>300.02625798231747</v>
      </c>
      <c r="L56" s="55">
        <f t="shared" ref="L56:L58" si="32">$L$59-($C$59-C56)*($L$59-$L$54)/($C$59-$C$54)</f>
        <v>0.53818071809101442</v>
      </c>
      <c r="M56" s="63">
        <f t="shared" ref="M56:M58" si="33">$M$59-($C$59-C56)*($M$59-$M$54)/($C$59-$C$54)</f>
        <v>0</v>
      </c>
      <c r="N56" s="63">
        <f t="shared" si="13"/>
        <v>180.29054056048983</v>
      </c>
      <c r="O56" s="63">
        <f t="shared" si="14"/>
        <v>0</v>
      </c>
      <c r="P56" s="63">
        <f t="shared" si="6"/>
        <v>0</v>
      </c>
      <c r="Q56" s="63">
        <f t="shared" si="15"/>
        <v>0</v>
      </c>
      <c r="W56" s="84">
        <f t="shared" si="5"/>
        <v>0</v>
      </c>
      <c r="X56" s="84">
        <f t="shared" si="7"/>
        <v>7</v>
      </c>
      <c r="Y56" s="84">
        <f t="shared" si="8"/>
        <v>12</v>
      </c>
      <c r="Z56" s="90">
        <f t="shared" si="16"/>
        <v>2.9735631299036109</v>
      </c>
      <c r="AA56" s="90">
        <f t="shared" si="17"/>
        <v>2.6390000490221199</v>
      </c>
      <c r="AB56" s="84">
        <f t="shared" si="18"/>
        <v>4.7594967926113139</v>
      </c>
      <c r="AC56" s="84"/>
      <c r="AD56" s="88"/>
      <c r="AE56" s="88"/>
      <c r="AF56" s="88"/>
      <c r="AG56" s="88"/>
    </row>
    <row r="57" spans="1:33" ht="20.100000000000001" customHeight="1" x14ac:dyDescent="0.3">
      <c r="A57" s="72" t="str">
        <f t="shared" si="19"/>
        <v/>
      </c>
      <c r="B57" s="73">
        <v>41</v>
      </c>
      <c r="C57" s="73">
        <v>10</v>
      </c>
      <c r="D57" s="75">
        <v>315</v>
      </c>
      <c r="E57" s="62">
        <f t="shared" si="9"/>
        <v>23.076923076923077</v>
      </c>
      <c r="F57" s="62">
        <f t="shared" si="10"/>
        <v>1.8761538461538465</v>
      </c>
      <c r="G57" s="62">
        <f>IF($C57&lt;$E$8,0,IF($C57=$E$7,E$19,IF($C57=$E$8,E$20,IF($W57=1,$Z57,($C57-$X57)/($Y57-$X57)*($AA57-$Z57)+$Z57))))</f>
        <v>2.7728252813747165</v>
      </c>
      <c r="H57" s="62">
        <f>$H$59-($C$59-C57)*($H$59-$H$56)/($C$59-$C$56)</f>
        <v>3.5685320914526657</v>
      </c>
      <c r="I57" s="74">
        <f t="shared" si="12"/>
        <v>590.98846153846159</v>
      </c>
      <c r="J57" s="62">
        <f t="shared" si="20"/>
        <v>0.52574946730830951</v>
      </c>
      <c r="K57" s="62">
        <f t="shared" si="21"/>
        <v>165.6110822021175</v>
      </c>
      <c r="L57" s="55">
        <f t="shared" si="32"/>
        <v>0.49488898513471624</v>
      </c>
      <c r="M57" s="63">
        <f t="shared" si="33"/>
        <v>0</v>
      </c>
      <c r="N57" s="63">
        <f t="shared" si="13"/>
        <v>155.89003031743562</v>
      </c>
      <c r="O57" s="63">
        <f t="shared" si="14"/>
        <v>0</v>
      </c>
      <c r="P57" s="63">
        <f t="shared" si="6"/>
        <v>0</v>
      </c>
      <c r="Q57" s="63">
        <f t="shared" si="15"/>
        <v>0</v>
      </c>
      <c r="W57" s="84">
        <f t="shared" si="5"/>
        <v>0</v>
      </c>
      <c r="X57" s="84">
        <f t="shared" si="7"/>
        <v>7</v>
      </c>
      <c r="Y57" s="84">
        <f t="shared" si="8"/>
        <v>12</v>
      </c>
      <c r="Z57" s="90">
        <f t="shared" si="16"/>
        <v>2.9735631299036109</v>
      </c>
      <c r="AA57" s="90">
        <f t="shared" si="17"/>
        <v>2.6390000490221199</v>
      </c>
      <c r="AB57" s="84">
        <f t="shared" si="18"/>
        <v>4.7594967926113139</v>
      </c>
      <c r="AC57" s="84"/>
      <c r="AD57" s="88"/>
      <c r="AE57" s="88"/>
      <c r="AF57" s="88"/>
      <c r="AG57" s="88"/>
    </row>
    <row r="58" spans="1:33" ht="20.100000000000001" customHeight="1" x14ac:dyDescent="0.3">
      <c r="A58" s="72" t="str">
        <f t="shared" si="19"/>
        <v/>
      </c>
      <c r="B58" s="73">
        <v>42</v>
      </c>
      <c r="C58" s="73">
        <v>11</v>
      </c>
      <c r="D58" s="75">
        <v>215</v>
      </c>
      <c r="E58" s="62">
        <f t="shared" si="9"/>
        <v>19.230769230769234</v>
      </c>
      <c r="F58" s="62">
        <f t="shared" si="10"/>
        <v>1.5634615384615389</v>
      </c>
      <c r="G58" s="62">
        <f t="shared" ref="G58:G59" si="34">IF($C58&lt;$E$8,0,IF($C58=$E$7,E$19,IF($C58=$E$8,E$20,IF($W58=1,$Z58,($C58-$X58)/($Y58-$X58)*($AA58-$Z58)+$Z58))))</f>
        <v>2.7059126651984182</v>
      </c>
      <c r="H58" s="62">
        <f>$H$59-($C$59-C58)*($H$59-$H$56)/($C$59-$C$56)</f>
        <v>4.6930665592650769</v>
      </c>
      <c r="I58" s="74">
        <f t="shared" si="12"/>
        <v>336.14423076923089</v>
      </c>
      <c r="J58" s="62">
        <f t="shared" si="20"/>
        <v>0.3331428435369076</v>
      </c>
      <c r="K58" s="62">
        <f t="shared" si="21"/>
        <v>71.625711360435133</v>
      </c>
      <c r="L58" s="55">
        <f t="shared" si="32"/>
        <v>0.45159725217841801</v>
      </c>
      <c r="M58" s="63">
        <f t="shared" si="33"/>
        <v>0</v>
      </c>
      <c r="N58" s="63">
        <f t="shared" si="13"/>
        <v>97.093409218359866</v>
      </c>
      <c r="O58" s="63">
        <f t="shared" si="14"/>
        <v>0</v>
      </c>
      <c r="P58" s="63">
        <f t="shared" si="6"/>
        <v>0</v>
      </c>
      <c r="Q58" s="63">
        <f t="shared" si="15"/>
        <v>0</v>
      </c>
      <c r="W58" s="84">
        <f t="shared" si="5"/>
        <v>0</v>
      </c>
      <c r="X58" s="84">
        <f t="shared" si="7"/>
        <v>7</v>
      </c>
      <c r="Y58" s="84">
        <f t="shared" si="8"/>
        <v>12</v>
      </c>
      <c r="Z58" s="90">
        <f t="shared" si="16"/>
        <v>2.9735631299036109</v>
      </c>
      <c r="AA58" s="90">
        <f t="shared" si="17"/>
        <v>2.6390000490221199</v>
      </c>
      <c r="AB58" s="84">
        <f t="shared" si="18"/>
        <v>4.7594967926113139</v>
      </c>
      <c r="AC58" s="84"/>
      <c r="AD58" s="88"/>
      <c r="AE58" s="88"/>
      <c r="AF58" s="88"/>
      <c r="AG58" s="88"/>
    </row>
    <row r="59" spans="1:33" s="34" customFormat="1" ht="20.100000000000001" customHeight="1" x14ac:dyDescent="0.3">
      <c r="A59" s="72" t="s">
        <v>9</v>
      </c>
      <c r="B59" s="73">
        <v>43</v>
      </c>
      <c r="C59" s="73">
        <v>12</v>
      </c>
      <c r="D59" s="75">
        <v>169</v>
      </c>
      <c r="E59" s="62">
        <f t="shared" si="9"/>
        <v>15.384615384615385</v>
      </c>
      <c r="F59" s="62">
        <f t="shared" si="10"/>
        <v>1.2507692307692309</v>
      </c>
      <c r="G59" s="62">
        <f t="shared" si="34"/>
        <v>2.6390000490221199</v>
      </c>
      <c r="H59" s="62">
        <f>I18</f>
        <v>5.8176010270774885</v>
      </c>
      <c r="I59" s="74">
        <f t="shared" si="12"/>
        <v>211.38000000000002</v>
      </c>
      <c r="J59" s="62">
        <f t="shared" si="20"/>
        <v>0.21499742332752633</v>
      </c>
      <c r="K59" s="62">
        <f t="shared" si="21"/>
        <v>36.334564542351949</v>
      </c>
      <c r="L59" s="67">
        <f>J18</f>
        <v>0.40830551922211977</v>
      </c>
      <c r="M59" s="67">
        <f>K18</f>
        <v>0</v>
      </c>
      <c r="N59" s="63">
        <f t="shared" si="13"/>
        <v>69.003632748538237</v>
      </c>
      <c r="O59" s="63">
        <f t="shared" si="14"/>
        <v>0</v>
      </c>
      <c r="P59" s="63">
        <f t="shared" si="6"/>
        <v>0</v>
      </c>
      <c r="Q59" s="63">
        <f t="shared" si="15"/>
        <v>0</v>
      </c>
      <c r="W59" s="84">
        <f t="shared" si="5"/>
        <v>1</v>
      </c>
      <c r="X59" s="84">
        <f t="shared" si="7"/>
        <v>12</v>
      </c>
      <c r="Y59" s="84">
        <f t="shared" si="8"/>
        <v>12</v>
      </c>
      <c r="Z59" s="90">
        <f t="shared" si="16"/>
        <v>2.6390000490221199</v>
      </c>
      <c r="AA59" s="90">
        <f t="shared" si="17"/>
        <v>2.6390000490221199</v>
      </c>
      <c r="AB59" s="84">
        <f t="shared" si="18"/>
        <v>6.4632975181177841</v>
      </c>
      <c r="AC59" s="84"/>
      <c r="AD59" s="88"/>
      <c r="AE59" s="88"/>
      <c r="AF59" s="88"/>
      <c r="AG59" s="88"/>
    </row>
    <row r="60" spans="1:33" ht="20.100000000000001" customHeight="1" x14ac:dyDescent="0.3">
      <c r="A60" s="72" t="str">
        <f t="shared" si="19"/>
        <v/>
      </c>
      <c r="B60" s="73">
        <v>44</v>
      </c>
      <c r="C60" s="73">
        <v>13</v>
      </c>
      <c r="D60" s="75">
        <v>151</v>
      </c>
      <c r="E60" s="62">
        <f t="shared" si="9"/>
        <v>11.538461538461538</v>
      </c>
      <c r="F60" s="62">
        <f t="shared" si="10"/>
        <v>0.93807692307692325</v>
      </c>
      <c r="G60" s="62">
        <f>IF($C60&lt;$E$8,0,IF($C60=$E$7,E$19,IF($C60=$E$8,E$20,IF($W60=1,$Z60,($C60-$X60)/($Y60-$X60)*($AA60-$Z60)+$Z60))))</f>
        <v>2.5720874328458216</v>
      </c>
      <c r="H60" s="62">
        <f>$H$59-($C$59-C60)*($H$59-$H$56)/($C$59-$C$56)</f>
        <v>6.9421354948899001</v>
      </c>
      <c r="I60" s="74">
        <f t="shared" si="12"/>
        <v>141.6496153846154</v>
      </c>
      <c r="J60" s="62">
        <f t="shared" si="20"/>
        <v>0.1351280054627918</v>
      </c>
      <c r="K60" s="62">
        <f t="shared" si="21"/>
        <v>20.404328824881564</v>
      </c>
      <c r="L60" s="55">
        <f>($C60-$X60)/($Y60-$X60)*($J$18-$J$17)+J$17</f>
        <v>0.36501378626582154</v>
      </c>
      <c r="M60" s="55">
        <f>($C60-$X60)/($Y60-$X60)*($K$18-$K$17)+K$17</f>
        <v>0</v>
      </c>
      <c r="N60" s="63">
        <f t="shared" si="13"/>
        <v>55.117081726139055</v>
      </c>
      <c r="O60" s="63">
        <f t="shared" si="14"/>
        <v>0</v>
      </c>
      <c r="P60" s="63">
        <f t="shared" si="6"/>
        <v>0</v>
      </c>
      <c r="Q60" s="63">
        <f t="shared" si="15"/>
        <v>0</v>
      </c>
      <c r="W60" s="84">
        <f t="shared" si="5"/>
        <v>0</v>
      </c>
      <c r="X60" s="84">
        <v>7</v>
      </c>
      <c r="Y60" s="84">
        <f t="shared" si="8"/>
        <v>12</v>
      </c>
      <c r="Z60" s="90">
        <f t="shared" si="16"/>
        <v>2.9735631299036109</v>
      </c>
      <c r="AA60" s="90">
        <f t="shared" si="17"/>
        <v>2.6390000490221199</v>
      </c>
      <c r="AB60" s="84">
        <f t="shared" si="18"/>
        <v>4.7594967926113139</v>
      </c>
      <c r="AC60" s="84"/>
      <c r="AD60" s="88"/>
      <c r="AE60" s="88"/>
      <c r="AF60" s="88"/>
      <c r="AG60" s="88"/>
    </row>
    <row r="61" spans="1:33" ht="20.100000000000001" customHeight="1" x14ac:dyDescent="0.3">
      <c r="A61" s="72" t="str">
        <f t="shared" si="19"/>
        <v/>
      </c>
      <c r="B61" s="73">
        <v>45</v>
      </c>
      <c r="C61" s="73">
        <v>14</v>
      </c>
      <c r="D61" s="75">
        <v>105</v>
      </c>
      <c r="E61" s="62">
        <f t="shared" si="9"/>
        <v>7.6923076923076925</v>
      </c>
      <c r="F61" s="62">
        <f t="shared" si="10"/>
        <v>0.62538461538461543</v>
      </c>
      <c r="G61" s="62">
        <f>IF($C61&lt;$E$8,0,IF($C61=$E$7,E$19,IF($C61=$E$8,E$20,IF($W61=1,$Z61,($C61-$X61)/($Y61-$X61)*($AA61-$Z61)+$Z61))))</f>
        <v>2.5051748166695234</v>
      </c>
      <c r="H61" s="62">
        <f>$H$59-($C$59-C61)*($H$59-$H$56)/($C$59-$C$56)</f>
        <v>8.0666699627023117</v>
      </c>
      <c r="I61" s="74">
        <f t="shared" si="12"/>
        <v>65.665384615384625</v>
      </c>
      <c r="J61" s="62">
        <f t="shared" si="20"/>
        <v>7.7526986758624419E-2</v>
      </c>
      <c r="K61" s="62">
        <f t="shared" si="21"/>
        <v>8.1403336096555634</v>
      </c>
      <c r="L61" s="55">
        <f t="shared" ref="L61" si="35">($C61-$X61)/($Y61-$X61)*($J$18-$J$17)+J$17</f>
        <v>0.32172205330952336</v>
      </c>
      <c r="M61" s="55">
        <f t="shared" ref="M61:M62" si="36">($C61-$X61)/($Y61-$X61)*($K$18-$K$17)+K$17</f>
        <v>0</v>
      </c>
      <c r="N61" s="63">
        <f t="shared" si="13"/>
        <v>33.780815597499952</v>
      </c>
      <c r="O61" s="63">
        <f t="shared" si="14"/>
        <v>0</v>
      </c>
      <c r="P61" s="63">
        <f t="shared" si="6"/>
        <v>0</v>
      </c>
      <c r="Q61" s="63">
        <f t="shared" si="15"/>
        <v>0</v>
      </c>
      <c r="W61" s="84">
        <f t="shared" si="5"/>
        <v>0</v>
      </c>
      <c r="X61" s="84">
        <f>IF(W61=0,X60,#REF!)</f>
        <v>7</v>
      </c>
      <c r="Y61" s="84">
        <f t="shared" si="8"/>
        <v>12</v>
      </c>
      <c r="Z61" s="90">
        <f t="shared" si="16"/>
        <v>2.9735631299036109</v>
      </c>
      <c r="AA61" s="90">
        <f t="shared" si="17"/>
        <v>2.6390000490221199</v>
      </c>
      <c r="AB61" s="84">
        <f t="shared" si="18"/>
        <v>4.7594967926113139</v>
      </c>
      <c r="AC61" s="84"/>
      <c r="AD61" s="88"/>
      <c r="AE61" s="88"/>
      <c r="AF61" s="88"/>
      <c r="AG61" s="88"/>
    </row>
    <row r="62" spans="1:33" ht="20.100000000000001" customHeight="1" x14ac:dyDescent="0.3">
      <c r="A62" s="72" t="str">
        <f t="shared" si="19"/>
        <v/>
      </c>
      <c r="B62" s="73">
        <v>46</v>
      </c>
      <c r="C62" s="73">
        <v>15</v>
      </c>
      <c r="D62" s="75">
        <v>74</v>
      </c>
      <c r="E62" s="62">
        <f t="shared" si="9"/>
        <v>3.8461538461538463</v>
      </c>
      <c r="F62" s="62">
        <f t="shared" si="10"/>
        <v>0.31269230769230771</v>
      </c>
      <c r="G62" s="62">
        <f t="shared" ref="G62" si="37">IF($C62&lt;$E$8,0,IF($C62=$E$7,E$19,IF($C62=$E$8,E$20,IF($W62=1,$Z62,($C62-$X62)/($Y62-$X62)*($AA62-$Z62)+$Z62))))</f>
        <v>2.4382622004932255</v>
      </c>
      <c r="H62" s="62">
        <f>$H$59-($C$59-C62)*($H$59-$H$56)/($C$59-$C$56)</f>
        <v>9.1912044305147234</v>
      </c>
      <c r="I62" s="74">
        <f t="shared" si="12"/>
        <v>23.139230769230771</v>
      </c>
      <c r="J62" s="62">
        <f t="shared" si="20"/>
        <v>3.4020819584229006E-2</v>
      </c>
      <c r="K62" s="62">
        <f t="shared" si="21"/>
        <v>2.5175406492329464</v>
      </c>
      <c r="L62" s="55">
        <f>($C62-$X62)/($Y62-$X62)*($J$18-$J$17)+J$17</f>
        <v>0.27843032035322507</v>
      </c>
      <c r="M62" s="55">
        <f t="shared" si="36"/>
        <v>0</v>
      </c>
      <c r="N62" s="63">
        <f t="shared" si="13"/>
        <v>20.603843706138655</v>
      </c>
      <c r="O62" s="63">
        <f t="shared" si="14"/>
        <v>0</v>
      </c>
      <c r="P62" s="63">
        <f t="shared" si="6"/>
        <v>0</v>
      </c>
      <c r="Q62" s="63">
        <f t="shared" si="15"/>
        <v>0</v>
      </c>
      <c r="W62" s="84">
        <f t="shared" si="5"/>
        <v>0</v>
      </c>
      <c r="X62" s="84">
        <f>IF(W62=0,X61,#REF!)</f>
        <v>7</v>
      </c>
      <c r="Y62" s="84">
        <v>12</v>
      </c>
      <c r="Z62" s="90">
        <f t="shared" si="16"/>
        <v>2.9735631299036109</v>
      </c>
      <c r="AA62" s="90">
        <f t="shared" si="17"/>
        <v>2.6390000490221199</v>
      </c>
      <c r="AB62" s="84">
        <f t="shared" si="18"/>
        <v>4.7594967926113139</v>
      </c>
      <c r="AC62" s="84"/>
      <c r="AD62" s="88"/>
      <c r="AE62" s="88"/>
      <c r="AF62" s="88"/>
      <c r="AG62" s="88"/>
    </row>
    <row r="63" spans="1:33" ht="20.100000000000001" customHeight="1" x14ac:dyDescent="0.3">
      <c r="A63" s="1" t="s">
        <v>110</v>
      </c>
      <c r="B63" s="17"/>
      <c r="C63" s="17"/>
      <c r="D63" s="14">
        <v>4910</v>
      </c>
      <c r="E63" s="10"/>
      <c r="F63" s="10"/>
      <c r="G63" s="10"/>
      <c r="H63" s="64"/>
      <c r="I63" s="98">
        <f>SUM(I37:I62)</f>
        <v>16793.453076923077</v>
      </c>
      <c r="J63" s="65"/>
      <c r="K63" s="98">
        <f>SUM(K37:K62)</f>
        <v>5336.4134894162817</v>
      </c>
      <c r="L63" s="25"/>
      <c r="M63" s="25"/>
      <c r="W63" s="66"/>
      <c r="X63" s="66"/>
      <c r="Y63" s="66"/>
      <c r="Z63" s="66"/>
      <c r="AA63" s="66"/>
      <c r="AB63" s="66"/>
      <c r="AC63" s="66"/>
    </row>
    <row r="64" spans="1:33" x14ac:dyDescent="0.3">
      <c r="M64" s="25"/>
      <c r="N64" s="132"/>
      <c r="O64" s="132"/>
      <c r="W64" s="66"/>
      <c r="X64" s="66"/>
      <c r="Y64" s="66"/>
      <c r="Z64" s="66"/>
      <c r="AA64" s="66"/>
      <c r="AB64" s="66"/>
      <c r="AC64" s="66"/>
    </row>
    <row r="65" spans="4:29" x14ac:dyDescent="0.3">
      <c r="W65" s="66"/>
      <c r="X65" s="66"/>
      <c r="Y65" s="66"/>
      <c r="Z65" s="66"/>
      <c r="AA65" s="66"/>
      <c r="AB65" s="66"/>
      <c r="AC65" s="66"/>
    </row>
    <row r="67" spans="4:29" s="8" customFormat="1" ht="45" customHeight="1" x14ac:dyDescent="0.25"/>
    <row r="68" spans="4:29" ht="45" customHeight="1" x14ac:dyDescent="0.25"/>
    <row r="69" spans="4:29" ht="56.25" customHeight="1" x14ac:dyDescent="0.25"/>
    <row r="70" spans="4:29" ht="25.5" customHeight="1" x14ac:dyDescent="0.25"/>
    <row r="71" spans="4:29" x14ac:dyDescent="0.25">
      <c r="D71" s="11"/>
    </row>
    <row r="72" spans="4:29" x14ac:dyDescent="0.25">
      <c r="D72" s="11"/>
    </row>
    <row r="73" spans="4:29" x14ac:dyDescent="0.25">
      <c r="D73" s="11"/>
    </row>
    <row r="74" spans="4:29" x14ac:dyDescent="0.25">
      <c r="D74" s="11"/>
    </row>
  </sheetData>
  <mergeCells count="14">
    <mergeCell ref="P1:T1"/>
    <mergeCell ref="P2:T2"/>
    <mergeCell ref="P7:T7"/>
    <mergeCell ref="P8:T8"/>
    <mergeCell ref="P9:T9"/>
    <mergeCell ref="N64:O64"/>
    <mergeCell ref="A3:B3"/>
    <mergeCell ref="D3:F3"/>
    <mergeCell ref="H8:K8"/>
    <mergeCell ref="A34:A35"/>
    <mergeCell ref="G34:H34"/>
    <mergeCell ref="J34:K34"/>
    <mergeCell ref="I13:K13"/>
    <mergeCell ref="A33:Q33"/>
  </mergeCells>
  <dataValidations disablePrompts="1" count="1">
    <dataValidation type="list" allowBlank="1" showInputMessage="1" showErrorMessage="1" sqref="B6:B11" xr:uid="{00000000-0002-0000-0100-000000000000}">
      <formula1>#REF!</formula1>
    </dataValidation>
  </dataValidations>
  <pageMargins left="0.19685039370078741" right="0.19685039370078741" top="0.19685039370078741" bottom="0.19685039370078741" header="0.19685039370078741" footer="0.19685039370078741"/>
  <pageSetup paperSize="9" scale="75" orientation="landscape" r:id="rId1"/>
  <headerFooter alignWithMargins="0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11E470E60FFE349A33B15DF019DB1EA" ma:contentTypeVersion="11" ma:contentTypeDescription="Crée un document." ma:contentTypeScope="" ma:versionID="3ecdba4331a873cff9329eed2249382b">
  <xsd:schema xmlns:xsd="http://www.w3.org/2001/XMLSchema" xmlns:xs="http://www.w3.org/2001/XMLSchema" xmlns:p="http://schemas.microsoft.com/office/2006/metadata/properties" xmlns:ns2="924cec9b-99a6-4f97-a81d-9ed2bd3862b3" xmlns:ns3="7ddf1c3f-3f2a-4c99-8512-10af45d394a1" targetNamespace="http://schemas.microsoft.com/office/2006/metadata/properties" ma:root="true" ma:fieldsID="15f04ef761ac5776ab5484de4df01c3c" ns2:_="" ns3:_="">
    <xsd:import namespace="924cec9b-99a6-4f97-a81d-9ed2bd3862b3"/>
    <xsd:import namespace="7ddf1c3f-3f2a-4c99-8512-10af45d394a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4cec9b-99a6-4f97-a81d-9ed2bd3862b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Balises d’images" ma:readOnly="false" ma:fieldId="{5cf76f15-5ced-4ddc-b409-7134ff3c332f}" ma:taxonomyMulti="true" ma:sspId="153a4f6f-37d7-4804-b3ee-3bb127d1620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df1c3f-3f2a-4c99-8512-10af45d394a1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eaa1804-d857-4eeb-8eee-5ce59efa3a66}" ma:internalName="TaxCatchAll" ma:showField="CatchAllData" ma:web="7ddf1c3f-3f2a-4c99-8512-10af45d394a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ddf1c3f-3f2a-4c99-8512-10af45d394a1" xsi:nil="true"/>
    <lcf76f155ced4ddcb4097134ff3c332f xmlns="924cec9b-99a6-4f97-a81d-9ed2bd3862b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FB917B2-5401-4C81-A325-30CF08F4DB94}"/>
</file>

<file path=customXml/itemProps2.xml><?xml version="1.0" encoding="utf-8"?>
<ds:datastoreItem xmlns:ds="http://schemas.openxmlformats.org/officeDocument/2006/customXml" ds:itemID="{DBD0AD49-8FD5-4555-9B56-9CBE1A90FC10}"/>
</file>

<file path=customXml/itemProps3.xml><?xml version="1.0" encoding="utf-8"?>
<ds:datastoreItem xmlns:ds="http://schemas.openxmlformats.org/officeDocument/2006/customXml" ds:itemID="{3AC16DF1-1576-4B86-BF72-04C59E37B64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Separated method</vt:lpstr>
      <vt:lpstr>coverage rate</vt:lpstr>
      <vt:lpstr>Combined method</vt:lpstr>
    </vt:vector>
  </TitlesOfParts>
  <Company>CETIAT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MMT</dc:creator>
  <cp:lastModifiedBy>Valérie LAPLAGNE</cp:lastModifiedBy>
  <cp:lastPrinted>2016-11-30T11:36:05Z</cp:lastPrinted>
  <dcterms:created xsi:type="dcterms:W3CDTF">2010-08-04T09:32:22Z</dcterms:created>
  <dcterms:modified xsi:type="dcterms:W3CDTF">2025-07-07T14:11:45Z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0x010100811E470E60FFE349A33B15DF019DB1EA</vt:lpwstr>
  </property>
</Properties>
</file>